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ws1.lboro.ac.uk\CRSP-Shared\CRSP Projects\MIS Numbers\MIS2022\Full budget spreadsheets\For Formatting and Formulas - Claire and Nicky\"/>
    </mc:Choice>
  </mc:AlternateContent>
  <xr:revisionPtr revIDLastSave="0" documentId="13_ncr:1_{D191DFE3-AEB2-4A18-B3F1-00F625B1BD09}" xr6:coauthVersionLast="47" xr6:coauthVersionMax="47" xr10:uidLastSave="{00000000-0000-0000-0000-000000000000}"/>
  <bookViews>
    <workbookView xWindow="-120" yWindow="-120" windowWidth="29040" windowHeight="17640" firstSheet="3" activeTab="6" xr2:uid="{FF745DE7-E49C-4FB1-8FA5-F6BB029BB396}"/>
  </bookViews>
  <sheets>
    <sheet name="Totals" sheetId="18" r:id="rId1"/>
    <sheet name="Food" sheetId="15" r:id="rId2"/>
    <sheet name="Alcohol" sheetId="16" r:id="rId3"/>
    <sheet name="Clothing" sheetId="13" r:id="rId4"/>
    <sheet name="Footwear" sheetId="14" r:id="rId5"/>
    <sheet name="Housing" sheetId="5" r:id="rId6"/>
    <sheet name="HHGoods" sheetId="6" r:id="rId7"/>
    <sheet name="HHServices" sheetId="11" r:id="rId8"/>
    <sheet name="PersonalGoods+Services" sheetId="7" r:id="rId9"/>
    <sheet name="Health" sheetId="12" r:id="rId10"/>
    <sheet name="Transport" sheetId="8" r:id="rId11"/>
    <sheet name="LeisureGoods" sheetId="9" r:id="rId12"/>
    <sheet name="LeisureServices" sheetId="10" r:id="rId13"/>
  </sheets>
  <externalReferences>
    <externalReference r:id="rId14"/>
  </externalReferences>
  <definedNames>
    <definedName name="MISA">[1]A!$F$12</definedName>
    <definedName name="MISA1">[1]A!$F$10</definedName>
    <definedName name="MISA2">[1]A!$F$11</definedName>
    <definedName name="MISB">[1]B!$F$15</definedName>
    <definedName name="MISB1">[1]B!$F$11</definedName>
    <definedName name="MISB1A">[1]B!$F$12</definedName>
    <definedName name="MISB1B">[1]B!$F$13</definedName>
    <definedName name="MISB2">[1]B!$F$14</definedName>
    <definedName name="MISC">[1]C!$F$14</definedName>
    <definedName name="MISD">[1]D!$E$9</definedName>
    <definedName name="MISD1">[1]D!$E$10</definedName>
    <definedName name="MISD2">[1]D!#REF!</definedName>
    <definedName name="MISD3">[1]D!$E$12</definedName>
    <definedName name="MISD4">[1]D!$E$13</definedName>
    <definedName name="MISD5">[1]D!$E$14</definedName>
    <definedName name="MISD6">[1]D!$E$15</definedName>
    <definedName name="MISD7">[1]D!$E$11</definedName>
    <definedName name="MISE">[1]E!$F$22</definedName>
    <definedName name="MISE1">[1]E!$F$15</definedName>
    <definedName name="MISE2">[1]E!$F$16</definedName>
    <definedName name="MISE2A">[1]E!$F$17</definedName>
    <definedName name="MISE2A1">[1]E!$F$18</definedName>
    <definedName name="MISE2A2">[1]E!$F$19</definedName>
    <definedName name="MISE2B">[1]E!$F$20</definedName>
    <definedName name="MISE2C">[1]E!$F$21</definedName>
    <definedName name="MISF">[1]F!$F$8</definedName>
    <definedName name="MISG">[1]G!$F$15</definedName>
    <definedName name="MISG1">[1]G!$F$13</definedName>
    <definedName name="MISG2">[1]G!$F$14</definedName>
    <definedName name="MISH">[1]H!$F$22</definedName>
    <definedName name="MISH1">[1]H!$F$16</definedName>
    <definedName name="MISH2">[1]H!$F$17</definedName>
    <definedName name="MISH3">[1]H!$F$18</definedName>
    <definedName name="MISH4">[1]H!$F$19</definedName>
    <definedName name="MISH5">[1]H!$F$20</definedName>
    <definedName name="MISH6">[1]H!$F$21</definedName>
    <definedName name="_xlnm.Print_Area" localSheetId="3">Clothing!$A$1:$M$38</definedName>
    <definedName name="_xlnm.Print_Area" localSheetId="1">Food!$A$1:$M$92</definedName>
    <definedName name="_xlnm.Print_Area" localSheetId="12">LeisureServices!$A$1:$M$17</definedName>
    <definedName name="_xlnm.Print_Titles" localSheetId="3">Clothing!$1:$4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 i="18" l="1"/>
  <c r="H9" i="18"/>
  <c r="E14" i="10"/>
  <c r="E37" i="18" s="1"/>
  <c r="F22" i="12"/>
  <c r="E21" i="18"/>
  <c r="H11" i="18" s="1"/>
  <c r="E20" i="18"/>
  <c r="E19" i="18"/>
  <c r="E18" i="18"/>
  <c r="H8" i="18" s="1"/>
  <c r="E17" i="18"/>
  <c r="H7" i="18" s="1"/>
  <c r="E16" i="18"/>
  <c r="E15" i="18"/>
  <c r="H20" i="18" s="1"/>
  <c r="E18" i="5"/>
  <c r="E17" i="5"/>
  <c r="E16" i="5"/>
  <c r="E15" i="5"/>
  <c r="E14" i="5"/>
  <c r="E12" i="5"/>
  <c r="E11" i="18"/>
  <c r="E10" i="18"/>
  <c r="E9" i="18" s="1"/>
  <c r="H4" i="18" s="1"/>
  <c r="F9" i="16"/>
  <c r="F8" i="16"/>
  <c r="H16" i="18"/>
  <c r="H14" i="18"/>
  <c r="H5" i="18"/>
  <c r="J12" i="10"/>
  <c r="K12" i="10" s="1"/>
  <c r="J11" i="10"/>
  <c r="K11" i="10" s="1"/>
  <c r="J10" i="10"/>
  <c r="K10" i="10" s="1"/>
  <c r="J9" i="10"/>
  <c r="K9" i="10" s="1"/>
  <c r="E17" i="10" s="1"/>
  <c r="E40" i="18" s="1"/>
  <c r="K8" i="10"/>
  <c r="J7" i="10"/>
  <c r="K7" i="10" s="1"/>
  <c r="J5" i="10"/>
  <c r="K5" i="10" s="1"/>
  <c r="E15" i="10" s="1"/>
  <c r="E38" i="18" s="1"/>
  <c r="J13" i="9"/>
  <c r="K13" i="9" s="1"/>
  <c r="J12" i="9"/>
  <c r="K12" i="9" s="1"/>
  <c r="J11" i="9"/>
  <c r="K11" i="9" s="1"/>
  <c r="J10" i="9"/>
  <c r="K10" i="9" s="1"/>
  <c r="J9" i="9"/>
  <c r="K9" i="9" s="1"/>
  <c r="J8" i="9"/>
  <c r="K8" i="9" s="1"/>
  <c r="J7" i="9"/>
  <c r="K7" i="9" s="1"/>
  <c r="J6" i="9"/>
  <c r="K6" i="9" s="1"/>
  <c r="J5" i="9"/>
  <c r="K5" i="9" s="1"/>
  <c r="E15" i="9" s="1"/>
  <c r="E35" i="18" s="1"/>
  <c r="J7" i="8"/>
  <c r="K7" i="8" s="1"/>
  <c r="K5" i="8"/>
  <c r="K4" i="8"/>
  <c r="E9" i="8" s="1"/>
  <c r="E33" i="18" s="1"/>
  <c r="H17" i="18" s="1"/>
  <c r="K19" i="12"/>
  <c r="J18" i="12"/>
  <c r="K18" i="12" s="1"/>
  <c r="J17" i="12"/>
  <c r="K17" i="12" s="1"/>
  <c r="J16" i="12"/>
  <c r="K16" i="12" s="1"/>
  <c r="J15" i="12"/>
  <c r="K15" i="12" s="1"/>
  <c r="J14" i="12"/>
  <c r="K14" i="12" s="1"/>
  <c r="J13" i="12"/>
  <c r="K13" i="12" s="1"/>
  <c r="J12" i="12"/>
  <c r="K12" i="12" s="1"/>
  <c r="J11" i="12"/>
  <c r="K11" i="12" s="1"/>
  <c r="J10" i="12"/>
  <c r="K10" i="12" s="1"/>
  <c r="J9" i="12"/>
  <c r="K9" i="12" s="1"/>
  <c r="J8" i="12"/>
  <c r="K8" i="12" s="1"/>
  <c r="J7" i="12"/>
  <c r="K7" i="12" s="1"/>
  <c r="J6" i="12"/>
  <c r="K6" i="12" s="1"/>
  <c r="J5" i="12"/>
  <c r="K5" i="12" s="1"/>
  <c r="J38" i="7"/>
  <c r="K38" i="7" s="1"/>
  <c r="J37" i="7"/>
  <c r="K37" i="7" s="1"/>
  <c r="J36" i="7"/>
  <c r="K36" i="7" s="1"/>
  <c r="J35" i="7"/>
  <c r="K35" i="7" s="1"/>
  <c r="J34" i="7"/>
  <c r="K34" i="7" s="1"/>
  <c r="J33" i="7"/>
  <c r="K33" i="7" s="1"/>
  <c r="J32" i="7"/>
  <c r="K32" i="7" s="1"/>
  <c r="J31" i="7"/>
  <c r="K31" i="7" s="1"/>
  <c r="J30" i="7"/>
  <c r="K30" i="7" s="1"/>
  <c r="J29" i="7"/>
  <c r="K29" i="7" s="1"/>
  <c r="J28" i="7"/>
  <c r="K28" i="7" s="1"/>
  <c r="J27" i="7"/>
  <c r="K27" i="7" s="1"/>
  <c r="J26" i="7"/>
  <c r="K26" i="7" s="1"/>
  <c r="J25" i="7"/>
  <c r="K25" i="7" s="1"/>
  <c r="J24" i="7"/>
  <c r="K24" i="7" s="1"/>
  <c r="J22" i="7"/>
  <c r="K22" i="7" s="1"/>
  <c r="J21" i="7"/>
  <c r="K21" i="7" s="1"/>
  <c r="J20" i="7"/>
  <c r="K20" i="7" s="1"/>
  <c r="J19" i="7"/>
  <c r="K19" i="7" s="1"/>
  <c r="J18" i="7"/>
  <c r="K18" i="7" s="1"/>
  <c r="J17" i="7"/>
  <c r="K17" i="7" s="1"/>
  <c r="J16" i="7"/>
  <c r="K16" i="7" s="1"/>
  <c r="J15" i="7"/>
  <c r="K15" i="7" s="1"/>
  <c r="J14" i="7"/>
  <c r="K14" i="7" s="1"/>
  <c r="J13" i="7"/>
  <c r="K13" i="7" s="1"/>
  <c r="K12" i="7"/>
  <c r="J11" i="7"/>
  <c r="K11" i="7" s="1"/>
  <c r="J10" i="7"/>
  <c r="K10" i="7" s="1"/>
  <c r="J9" i="7"/>
  <c r="K9" i="7" s="1"/>
  <c r="K8" i="7"/>
  <c r="J7" i="7"/>
  <c r="K7" i="7" s="1"/>
  <c r="J6" i="7"/>
  <c r="K6" i="7" s="1"/>
  <c r="J5" i="7"/>
  <c r="K5" i="7" s="1"/>
  <c r="J9" i="11"/>
  <c r="K9" i="11" s="1"/>
  <c r="K8" i="11"/>
  <c r="K7" i="11"/>
  <c r="J7" i="11"/>
  <c r="J6" i="11"/>
  <c r="K6" i="11" s="1"/>
  <c r="F12" i="11" s="1"/>
  <c r="E27" i="18" s="1"/>
  <c r="K5" i="11"/>
  <c r="F11" i="11" s="1"/>
  <c r="E26" i="18" s="1"/>
  <c r="J182" i="6"/>
  <c r="K182" i="6" s="1"/>
  <c r="J181" i="6"/>
  <c r="K181" i="6" s="1"/>
  <c r="J180" i="6"/>
  <c r="K180" i="6" s="1"/>
  <c r="J179" i="6"/>
  <c r="K179" i="6" s="1"/>
  <c r="J178" i="6"/>
  <c r="K178" i="6" s="1"/>
  <c r="J177" i="6"/>
  <c r="K177" i="6" s="1"/>
  <c r="J176" i="6"/>
  <c r="K176" i="6" s="1"/>
  <c r="J175" i="6"/>
  <c r="K175" i="6" s="1"/>
  <c r="J174" i="6"/>
  <c r="K174" i="6" s="1"/>
  <c r="J173" i="6"/>
  <c r="K173" i="6" s="1"/>
  <c r="J172" i="6"/>
  <c r="K172" i="6" s="1"/>
  <c r="J171" i="6"/>
  <c r="K171" i="6" s="1"/>
  <c r="J169" i="6"/>
  <c r="K169" i="6" s="1"/>
  <c r="J168" i="6"/>
  <c r="K168" i="6" s="1"/>
  <c r="J167" i="6"/>
  <c r="K167" i="6" s="1"/>
  <c r="J166" i="6"/>
  <c r="K166" i="6" s="1"/>
  <c r="J165" i="6"/>
  <c r="K165" i="6" s="1"/>
  <c r="J164" i="6"/>
  <c r="K164" i="6" s="1"/>
  <c r="J163" i="6"/>
  <c r="K163" i="6" s="1"/>
  <c r="J162" i="6"/>
  <c r="K162" i="6" s="1"/>
  <c r="J161" i="6"/>
  <c r="K161" i="6" s="1"/>
  <c r="J159" i="6"/>
  <c r="K159" i="6" s="1"/>
  <c r="J158" i="6"/>
  <c r="K158" i="6" s="1"/>
  <c r="J157" i="6"/>
  <c r="K157" i="6" s="1"/>
  <c r="J156" i="6"/>
  <c r="K156" i="6" s="1"/>
  <c r="J155" i="6"/>
  <c r="K155" i="6" s="1"/>
  <c r="J154" i="6"/>
  <c r="K154" i="6" s="1"/>
  <c r="J153" i="6"/>
  <c r="K153" i="6" s="1"/>
  <c r="J152" i="6"/>
  <c r="K152" i="6" s="1"/>
  <c r="K151" i="6"/>
  <c r="J150" i="6"/>
  <c r="K150" i="6" s="1"/>
  <c r="J149" i="6"/>
  <c r="K149" i="6" s="1"/>
  <c r="K148" i="6"/>
  <c r="J147" i="6"/>
  <c r="K147" i="6" s="1"/>
  <c r="J146" i="6"/>
  <c r="K146" i="6" s="1"/>
  <c r="J145" i="6"/>
  <c r="K145" i="6" s="1"/>
  <c r="J143" i="6"/>
  <c r="K143" i="6" s="1"/>
  <c r="J142" i="6"/>
  <c r="K142" i="6" s="1"/>
  <c r="J141" i="6"/>
  <c r="K141" i="6" s="1"/>
  <c r="J140" i="6"/>
  <c r="K140" i="6" s="1"/>
  <c r="J139" i="6"/>
  <c r="K139" i="6" s="1"/>
  <c r="J138" i="6"/>
  <c r="K138" i="6" s="1"/>
  <c r="J137" i="6"/>
  <c r="K137" i="6" s="1"/>
  <c r="J136" i="6"/>
  <c r="K136" i="6" s="1"/>
  <c r="J135" i="6"/>
  <c r="K135" i="6" s="1"/>
  <c r="J134" i="6"/>
  <c r="K134" i="6" s="1"/>
  <c r="J133" i="6"/>
  <c r="K133" i="6" s="1"/>
  <c r="J132" i="6"/>
  <c r="K132" i="6" s="1"/>
  <c r="J131" i="6"/>
  <c r="K131" i="6" s="1"/>
  <c r="J130" i="6"/>
  <c r="K130" i="6" s="1"/>
  <c r="J128" i="6"/>
  <c r="K128" i="6" s="1"/>
  <c r="J127" i="6"/>
  <c r="K127" i="6" s="1"/>
  <c r="J126" i="6"/>
  <c r="K126" i="6" s="1"/>
  <c r="J125" i="6"/>
  <c r="K125" i="6" s="1"/>
  <c r="K124" i="6"/>
  <c r="K123" i="6"/>
  <c r="J122" i="6"/>
  <c r="K122" i="6" s="1"/>
  <c r="K121" i="6"/>
  <c r="J120" i="6"/>
  <c r="K120" i="6" s="1"/>
  <c r="J119" i="6"/>
  <c r="K119" i="6" s="1"/>
  <c r="K118" i="6"/>
  <c r="J117" i="6"/>
  <c r="K117" i="6" s="1"/>
  <c r="J116" i="6"/>
  <c r="K116" i="6" s="1"/>
  <c r="K114" i="6"/>
  <c r="J113" i="6"/>
  <c r="K113" i="6" s="1"/>
  <c r="J112" i="6"/>
  <c r="K112" i="6" s="1"/>
  <c r="J111" i="6"/>
  <c r="K111" i="6" s="1"/>
  <c r="J110" i="6"/>
  <c r="K110" i="6" s="1"/>
  <c r="J109" i="6"/>
  <c r="K109" i="6" s="1"/>
  <c r="J108" i="6"/>
  <c r="K108" i="6" s="1"/>
  <c r="J107" i="6"/>
  <c r="K107" i="6" s="1"/>
  <c r="J106" i="6"/>
  <c r="K106" i="6" s="1"/>
  <c r="J105" i="6"/>
  <c r="K105" i="6" s="1"/>
  <c r="J104" i="6"/>
  <c r="K104" i="6" s="1"/>
  <c r="J103" i="6"/>
  <c r="K103" i="6" s="1"/>
  <c r="K101" i="6"/>
  <c r="J100" i="6"/>
  <c r="K100" i="6" s="1"/>
  <c r="J99" i="6"/>
  <c r="K99" i="6" s="1"/>
  <c r="J98" i="6"/>
  <c r="K98" i="6" s="1"/>
  <c r="J97" i="6"/>
  <c r="K97" i="6" s="1"/>
  <c r="J96" i="6"/>
  <c r="K96" i="6" s="1"/>
  <c r="J95" i="6"/>
  <c r="K95" i="6" s="1"/>
  <c r="J94" i="6"/>
  <c r="K94" i="6" s="1"/>
  <c r="J93" i="6"/>
  <c r="K93" i="6" s="1"/>
  <c r="J92" i="6"/>
  <c r="K92" i="6" s="1"/>
  <c r="J91" i="6"/>
  <c r="K91" i="6" s="1"/>
  <c r="J90" i="6"/>
  <c r="K90" i="6" s="1"/>
  <c r="J89" i="6"/>
  <c r="K89" i="6" s="1"/>
  <c r="J88" i="6"/>
  <c r="K88" i="6" s="1"/>
  <c r="J87" i="6"/>
  <c r="K87" i="6" s="1"/>
  <c r="J85" i="6"/>
  <c r="K85" i="6" s="1"/>
  <c r="J84" i="6"/>
  <c r="K84" i="6" s="1"/>
  <c r="J83" i="6"/>
  <c r="K83" i="6" s="1"/>
  <c r="J82" i="6"/>
  <c r="K82" i="6" s="1"/>
  <c r="J81" i="6"/>
  <c r="K81" i="6" s="1"/>
  <c r="J80" i="6"/>
  <c r="K80" i="6" s="1"/>
  <c r="J79" i="6"/>
  <c r="K79" i="6" s="1"/>
  <c r="J78" i="6"/>
  <c r="K78" i="6" s="1"/>
  <c r="J77" i="6"/>
  <c r="K77" i="6" s="1"/>
  <c r="J75" i="6"/>
  <c r="K75" i="6" s="1"/>
  <c r="J74" i="6"/>
  <c r="K74" i="6" s="1"/>
  <c r="J73" i="6"/>
  <c r="K73" i="6" s="1"/>
  <c r="J72" i="6"/>
  <c r="K72" i="6" s="1"/>
  <c r="J71" i="6"/>
  <c r="K71" i="6" s="1"/>
  <c r="J70" i="6"/>
  <c r="K70" i="6" s="1"/>
  <c r="J69" i="6"/>
  <c r="K69" i="6" s="1"/>
  <c r="J68" i="6"/>
  <c r="K68" i="6" s="1"/>
  <c r="J67" i="6"/>
  <c r="K67" i="6" s="1"/>
  <c r="J66" i="6"/>
  <c r="K66" i="6" s="1"/>
  <c r="J65" i="6"/>
  <c r="K65" i="6" s="1"/>
  <c r="J64" i="6"/>
  <c r="K64" i="6" s="1"/>
  <c r="J62" i="6"/>
  <c r="K62" i="6" s="1"/>
  <c r="J61" i="6"/>
  <c r="K61" i="6" s="1"/>
  <c r="J60" i="6"/>
  <c r="K60" i="6" s="1"/>
  <c r="J59" i="6"/>
  <c r="K59" i="6" s="1"/>
  <c r="J58" i="6"/>
  <c r="K58" i="6" s="1"/>
  <c r="J57" i="6"/>
  <c r="K57" i="6" s="1"/>
  <c r="J56" i="6"/>
  <c r="K56" i="6" s="1"/>
  <c r="J55" i="6"/>
  <c r="K55" i="6" s="1"/>
  <c r="J53" i="6"/>
  <c r="K53" i="6" s="1"/>
  <c r="J52" i="6"/>
  <c r="K52" i="6" s="1"/>
  <c r="J51" i="6"/>
  <c r="K51" i="6" s="1"/>
  <c r="J50" i="6"/>
  <c r="K50" i="6" s="1"/>
  <c r="J49" i="6"/>
  <c r="K49" i="6" s="1"/>
  <c r="J48" i="6"/>
  <c r="K48" i="6" s="1"/>
  <c r="J47" i="6"/>
  <c r="K47" i="6" s="1"/>
  <c r="J46" i="6"/>
  <c r="K46" i="6" s="1"/>
  <c r="J45" i="6"/>
  <c r="K45" i="6" s="1"/>
  <c r="J44" i="6"/>
  <c r="K44" i="6" s="1"/>
  <c r="J43" i="6"/>
  <c r="K43" i="6" s="1"/>
  <c r="J42" i="6"/>
  <c r="K42" i="6" s="1"/>
  <c r="J40" i="6"/>
  <c r="K40" i="6" s="1"/>
  <c r="J39" i="6"/>
  <c r="K39" i="6" s="1"/>
  <c r="J38" i="6"/>
  <c r="K38" i="6" s="1"/>
  <c r="J37" i="6"/>
  <c r="K37" i="6" s="1"/>
  <c r="J36" i="6"/>
  <c r="K36" i="6" s="1"/>
  <c r="J35" i="6"/>
  <c r="K35" i="6" s="1"/>
  <c r="J34" i="6"/>
  <c r="K34" i="6" s="1"/>
  <c r="J33" i="6"/>
  <c r="K33" i="6" s="1"/>
  <c r="J32" i="6"/>
  <c r="K32" i="6" s="1"/>
  <c r="J31" i="6"/>
  <c r="K31" i="6" s="1"/>
  <c r="J29" i="6"/>
  <c r="K29" i="6" s="1"/>
  <c r="J28" i="6"/>
  <c r="K28" i="6" s="1"/>
  <c r="J27" i="6"/>
  <c r="K27" i="6" s="1"/>
  <c r="J26" i="6"/>
  <c r="K26" i="6" s="1"/>
  <c r="J25" i="6"/>
  <c r="K25" i="6" s="1"/>
  <c r="J24" i="6"/>
  <c r="K24" i="6" s="1"/>
  <c r="J23" i="6"/>
  <c r="K23" i="6" s="1"/>
  <c r="J22" i="6"/>
  <c r="K22" i="6" s="1"/>
  <c r="J21" i="6"/>
  <c r="K21" i="6" s="1"/>
  <c r="J20" i="6"/>
  <c r="K20" i="6" s="1"/>
  <c r="J19" i="6"/>
  <c r="K19" i="6" s="1"/>
  <c r="J18" i="6"/>
  <c r="K18" i="6" s="1"/>
  <c r="J17" i="6"/>
  <c r="K17" i="6" s="1"/>
  <c r="J15" i="6"/>
  <c r="K15" i="6" s="1"/>
  <c r="J14" i="6"/>
  <c r="K14" i="6" s="1"/>
  <c r="J13" i="6"/>
  <c r="K13" i="6" s="1"/>
  <c r="J11" i="6"/>
  <c r="K11" i="6" s="1"/>
  <c r="J10" i="6"/>
  <c r="K10" i="6" s="1"/>
  <c r="J9" i="6"/>
  <c r="K9" i="6" s="1"/>
  <c r="J8" i="6"/>
  <c r="K8" i="6" s="1"/>
  <c r="J7" i="6"/>
  <c r="K7" i="6" s="1"/>
  <c r="J6" i="6"/>
  <c r="K6" i="6" s="1"/>
  <c r="J5" i="6"/>
  <c r="K5" i="6" s="1"/>
  <c r="I9" i="14"/>
  <c r="J9" i="14" s="1"/>
  <c r="I8" i="14"/>
  <c r="J8" i="14" s="1"/>
  <c r="I7" i="14"/>
  <c r="J7" i="14" s="1"/>
  <c r="I6" i="14"/>
  <c r="J6" i="14" s="1"/>
  <c r="I5" i="14"/>
  <c r="J5" i="14" s="1"/>
  <c r="E11" i="14" s="1"/>
  <c r="J36" i="13"/>
  <c r="K36" i="13" s="1"/>
  <c r="J35" i="13"/>
  <c r="K35" i="13" s="1"/>
  <c r="J34" i="13"/>
  <c r="K34" i="13" s="1"/>
  <c r="J33" i="13"/>
  <c r="K33" i="13" s="1"/>
  <c r="J32" i="13"/>
  <c r="K32" i="13" s="1"/>
  <c r="J31" i="13"/>
  <c r="K31" i="13" s="1"/>
  <c r="J30" i="13"/>
  <c r="K30" i="13" s="1"/>
  <c r="J29" i="13"/>
  <c r="K29" i="13" s="1"/>
  <c r="J28" i="13"/>
  <c r="K28" i="13" s="1"/>
  <c r="J27" i="13"/>
  <c r="K27" i="13" s="1"/>
  <c r="J26" i="13"/>
  <c r="K26" i="13" s="1"/>
  <c r="J25" i="13"/>
  <c r="K25" i="13" s="1"/>
  <c r="J24" i="13"/>
  <c r="K24" i="13" s="1"/>
  <c r="J23" i="13"/>
  <c r="K23" i="13" s="1"/>
  <c r="J22" i="13"/>
  <c r="K22" i="13" s="1"/>
  <c r="J21" i="13"/>
  <c r="K21" i="13" s="1"/>
  <c r="J20" i="13"/>
  <c r="K20" i="13" s="1"/>
  <c r="J19" i="13"/>
  <c r="K19" i="13" s="1"/>
  <c r="J17" i="13"/>
  <c r="K17" i="13" s="1"/>
  <c r="J16" i="13"/>
  <c r="K16" i="13" s="1"/>
  <c r="J15" i="13"/>
  <c r="K15" i="13" s="1"/>
  <c r="J14" i="13"/>
  <c r="K14" i="13" s="1"/>
  <c r="J13" i="13"/>
  <c r="K13" i="13" s="1"/>
  <c r="J12" i="13"/>
  <c r="K12" i="13" s="1"/>
  <c r="J11" i="13"/>
  <c r="K11" i="13" s="1"/>
  <c r="J10" i="13"/>
  <c r="K10" i="13" s="1"/>
  <c r="J9" i="13"/>
  <c r="K9" i="13" s="1"/>
  <c r="J8" i="13"/>
  <c r="K8" i="13" s="1"/>
  <c r="J7" i="13"/>
  <c r="K7" i="13" s="1"/>
  <c r="J6" i="13"/>
  <c r="K6" i="13" s="1"/>
  <c r="J5" i="13"/>
  <c r="K5" i="13" s="1"/>
  <c r="J6" i="16"/>
  <c r="K6" i="16" s="1"/>
  <c r="K5" i="16"/>
  <c r="K89" i="15"/>
  <c r="J88" i="15"/>
  <c r="K88" i="15" s="1"/>
  <c r="J87" i="15"/>
  <c r="K87" i="15" s="1"/>
  <c r="J86" i="15"/>
  <c r="K86" i="15" s="1"/>
  <c r="K85" i="15"/>
  <c r="J84" i="15"/>
  <c r="K84" i="15" s="1"/>
  <c r="J83" i="15"/>
  <c r="K83" i="15" s="1"/>
  <c r="J82" i="15"/>
  <c r="K82" i="15" s="1"/>
  <c r="J81" i="15"/>
  <c r="K81" i="15" s="1"/>
  <c r="K80" i="15"/>
  <c r="J79" i="15"/>
  <c r="K79" i="15" s="1"/>
  <c r="K78" i="15"/>
  <c r="K77" i="15"/>
  <c r="K76" i="15"/>
  <c r="J75" i="15"/>
  <c r="K75" i="15" s="1"/>
  <c r="J74" i="15"/>
  <c r="K74" i="15" s="1"/>
  <c r="J73" i="15"/>
  <c r="K73" i="15" s="1"/>
  <c r="J72" i="15"/>
  <c r="K72" i="15" s="1"/>
  <c r="J70" i="15"/>
  <c r="K70" i="15" s="1"/>
  <c r="J69" i="15"/>
  <c r="K69" i="15" s="1"/>
  <c r="K68" i="15"/>
  <c r="K67" i="15"/>
  <c r="J66" i="15"/>
  <c r="K66" i="15" s="1"/>
  <c r="G65" i="15"/>
  <c r="K65" i="15" s="1"/>
  <c r="K64" i="15"/>
  <c r="G63" i="15"/>
  <c r="K63" i="15" s="1"/>
  <c r="J62" i="15"/>
  <c r="K62" i="15" s="1"/>
  <c r="G61" i="15"/>
  <c r="K61" i="15" s="1"/>
  <c r="J60" i="15"/>
  <c r="K60" i="15" s="1"/>
  <c r="J59" i="15"/>
  <c r="K59" i="15" s="1"/>
  <c r="J58" i="15"/>
  <c r="K58" i="15" s="1"/>
  <c r="K57" i="15"/>
  <c r="J56" i="15"/>
  <c r="K56" i="15" s="1"/>
  <c r="J55" i="15"/>
  <c r="K55" i="15" s="1"/>
  <c r="K54" i="15"/>
  <c r="K53" i="15"/>
  <c r="K52" i="15"/>
  <c r="K51" i="15"/>
  <c r="K50" i="15"/>
  <c r="K49" i="15"/>
  <c r="K48" i="15"/>
  <c r="K47" i="15"/>
  <c r="J46" i="15"/>
  <c r="K46" i="15" s="1"/>
  <c r="J44" i="15"/>
  <c r="K44" i="15" s="1"/>
  <c r="J43" i="15"/>
  <c r="K43" i="15" s="1"/>
  <c r="K42" i="15"/>
  <c r="K41" i="15"/>
  <c r="J40" i="15"/>
  <c r="K40" i="15" s="1"/>
  <c r="K39" i="15"/>
  <c r="J38" i="15"/>
  <c r="K38" i="15" s="1"/>
  <c r="J37" i="15"/>
  <c r="K37" i="15" s="1"/>
  <c r="J36" i="15"/>
  <c r="K36" i="15" s="1"/>
  <c r="J35" i="15"/>
  <c r="K35" i="15" s="1"/>
  <c r="J34" i="15"/>
  <c r="K34" i="15" s="1"/>
  <c r="J33" i="15"/>
  <c r="K33" i="15" s="1"/>
  <c r="K32" i="15"/>
  <c r="J31" i="15"/>
  <c r="K31" i="15" s="1"/>
  <c r="K30" i="15"/>
  <c r="K29" i="15"/>
  <c r="K28" i="15"/>
  <c r="K27" i="15"/>
  <c r="J26" i="15"/>
  <c r="K26" i="15" s="1"/>
  <c r="J25" i="15"/>
  <c r="K25" i="15" s="1"/>
  <c r="J24" i="15"/>
  <c r="K24" i="15" s="1"/>
  <c r="K23" i="15"/>
  <c r="J21" i="15"/>
  <c r="K21" i="15" s="1"/>
  <c r="J20" i="15"/>
  <c r="K20" i="15" s="1"/>
  <c r="K19" i="15"/>
  <c r="J18" i="15"/>
  <c r="K18" i="15" s="1"/>
  <c r="J17" i="15"/>
  <c r="K17" i="15" s="1"/>
  <c r="J16" i="15"/>
  <c r="K16" i="15" s="1"/>
  <c r="K15" i="15"/>
  <c r="J14" i="15"/>
  <c r="K14" i="15" s="1"/>
  <c r="K13" i="15"/>
  <c r="J12" i="15"/>
  <c r="K12" i="15" s="1"/>
  <c r="J11" i="15"/>
  <c r="K11" i="15" s="1"/>
  <c r="J10" i="15"/>
  <c r="K10" i="15" s="1"/>
  <c r="J9" i="15"/>
  <c r="K9" i="15" s="1"/>
  <c r="K8" i="15"/>
  <c r="K7" i="15"/>
  <c r="J6" i="15"/>
  <c r="K6" i="15" s="1"/>
  <c r="J5" i="15"/>
  <c r="K5" i="15" s="1"/>
  <c r="E34" i="18" l="1"/>
  <c r="H18" i="18" s="1"/>
  <c r="F40" i="7"/>
  <c r="E31" i="18" s="1"/>
  <c r="H15" i="18" s="1"/>
  <c r="E25" i="18"/>
  <c r="E24" i="18"/>
  <c r="H13" i="18" s="1"/>
  <c r="F184" i="6"/>
  <c r="E23" i="18" s="1"/>
  <c r="H12" i="18" s="1"/>
  <c r="F38" i="13"/>
  <c r="E14" i="18" s="1"/>
  <c r="H6" i="18" s="1"/>
  <c r="E92" i="15"/>
  <c r="E7" i="18" s="1"/>
  <c r="E91" i="15"/>
  <c r="E6" i="18" s="1"/>
  <c r="E5" i="18" l="1"/>
  <c r="H3" i="18" s="1"/>
  <c r="H19" i="18" s="1"/>
  <c r="H10" i="5"/>
  <c r="I10" i="5" s="1"/>
  <c r="H9" i="5"/>
  <c r="I9" i="5" s="1"/>
  <c r="H8" i="5"/>
  <c r="I8" i="5" s="1"/>
  <c r="H6" i="5"/>
  <c r="F6" i="5"/>
  <c r="I5" i="5"/>
  <c r="I6" i="5" l="1"/>
</calcChain>
</file>

<file path=xl/sharedStrings.xml><?xml version="1.0" encoding="utf-8"?>
<sst xmlns="http://schemas.openxmlformats.org/spreadsheetml/2006/main" count="3044" uniqueCount="1218">
  <si>
    <t>MIS 2022 REBASE</t>
  </si>
  <si>
    <t>MIS CODE</t>
  </si>
  <si>
    <t>COICOP</t>
  </si>
  <si>
    <t>MIS ID</t>
  </si>
  <si>
    <t>Category</t>
  </si>
  <si>
    <t>Item</t>
  </si>
  <si>
    <t>Brand</t>
  </si>
  <si>
    <t>Supplier</t>
  </si>
  <si>
    <t>Unit Price £</t>
  </si>
  <si>
    <t>No. in pack</t>
  </si>
  <si>
    <t>Quantity</t>
  </si>
  <si>
    <t>Lifespan (weeks)</t>
  </si>
  <si>
    <t>Weekly cost</t>
  </si>
  <si>
    <t>Shopping list</t>
  </si>
  <si>
    <t>Comments</t>
  </si>
  <si>
    <t>F: Health</t>
  </si>
  <si>
    <t>Health care</t>
  </si>
  <si>
    <t>F</t>
  </si>
  <si>
    <t>Opticians - glasses</t>
  </si>
  <si>
    <t>Dentists - check up</t>
  </si>
  <si>
    <t>Dentists - treatment</t>
  </si>
  <si>
    <t>Personal care</t>
  </si>
  <si>
    <t>ASDA</t>
  </si>
  <si>
    <t>Paracetamol</t>
  </si>
  <si>
    <t>Cold remedy</t>
  </si>
  <si>
    <t>Plasters</t>
  </si>
  <si>
    <t xml:space="preserve">Savlon antiseptic cream </t>
  </si>
  <si>
    <t>First aid kit</t>
  </si>
  <si>
    <t>Wilko</t>
  </si>
  <si>
    <t>Tesco</t>
  </si>
  <si>
    <t>Tesco Paracetamol Tablets 500Mg 16 Pack</t>
  </si>
  <si>
    <t>Lemsip Cold And Flu Lemon Sachets X 10</t>
  </si>
  <si>
    <t>Tesco Clear Washproof Plasters 40S</t>
  </si>
  <si>
    <t>Savlon Antiseptic Cream 100g</t>
  </si>
  <si>
    <t>Tesco Health Family First Aid Kit. Kit contains: 10 x Washproof Plasters (7.2cm x 1.9cm) 2 x Fabric Dressing Strips (6cm x 10cm) 2 x Sterile Wound Pad (5cm x 5cm) 2 x Sterile Wound Pad (10cm x 10cm) 1 x Stretch Bandage (6cm x 4m) 1 x Crepe Bandage (7.5cm x 2m) 1 x Microporous Tape (1.25cm x 5m) 4 x Antiseptic Wipes 2 x Sterile Adhesive Dressings (5.3cm x 7cm) 2 x Sterile Adhesive Dressings (10cm x 7cm) 6 x Safety Pins Scissors 1 x Pair of Vinyl Gloves First Aid Guidance Leaflet</t>
  </si>
  <si>
    <t>Covid tests</t>
  </si>
  <si>
    <t>Band 1 (£23.80) includes examination, diagnosis, and scale and polish if needed.</t>
  </si>
  <si>
    <t xml:space="preserve">Lloyds Pharmacy </t>
  </si>
  <si>
    <t>Lateral flow test kit (non-travel)</t>
  </si>
  <si>
    <t>1 per person per week</t>
  </si>
  <si>
    <t>E: Household services</t>
  </si>
  <si>
    <t>E2A1</t>
  </si>
  <si>
    <t>Postage</t>
  </si>
  <si>
    <t>Stamps</t>
  </si>
  <si>
    <t>E2A2</t>
  </si>
  <si>
    <t>Telephone</t>
  </si>
  <si>
    <t>Mobile telephone (handset)</t>
  </si>
  <si>
    <t>Tescomobile</t>
  </si>
  <si>
    <t>Mobile telephone (bills)</t>
  </si>
  <si>
    <t>3GB internet data and unlimited minutes. For use with handset above.</t>
  </si>
  <si>
    <t>Telephone line rental</t>
  </si>
  <si>
    <t>TalkTalk via Moneysupermarket</t>
  </si>
  <si>
    <t xml:space="preserve">Via Moneysupermarket. TalkTalk up to 67Mb avg speed, unlimited downloads, 18 month contract, no setup cost. £282 total cost per year (also offers £75 cashback voucher Tesco/Amazon/M&amp;S after 90 days). </t>
  </si>
  <si>
    <t>C: Clothing and footwear</t>
  </si>
  <si>
    <t>Weekly cost £</t>
  </si>
  <si>
    <t xml:space="preserve">Shopping List </t>
  </si>
  <si>
    <t>C</t>
  </si>
  <si>
    <t>Pants</t>
  </si>
  <si>
    <t>Sports Direct</t>
  </si>
  <si>
    <t>Matalan</t>
  </si>
  <si>
    <t>Socks</t>
  </si>
  <si>
    <t>Primark</t>
  </si>
  <si>
    <t>Trousers (smart)</t>
  </si>
  <si>
    <t>Shorts (casual)</t>
  </si>
  <si>
    <t>Jogging bottoms</t>
  </si>
  <si>
    <t>Jumpers</t>
  </si>
  <si>
    <t>Gloves</t>
  </si>
  <si>
    <t>Scarf (winter)</t>
  </si>
  <si>
    <t>Coat (winter)</t>
  </si>
  <si>
    <t>Asda</t>
  </si>
  <si>
    <t>Mountain Warehouse</t>
  </si>
  <si>
    <t>H&amp;M</t>
  </si>
  <si>
    <t>Dressing gown</t>
  </si>
  <si>
    <t>Male, underwear</t>
  </si>
  <si>
    <t>Black Ankle Socks 7 Pack</t>
  </si>
  <si>
    <t>Male, main clothing</t>
  </si>
  <si>
    <t>T shirts (short sleeved)</t>
  </si>
  <si>
    <t>Jeans</t>
  </si>
  <si>
    <t>Relaxed Cotton Twill Shorts</t>
  </si>
  <si>
    <t>Male, accessories</t>
  </si>
  <si>
    <t>Thinsulate Black Gloves</t>
  </si>
  <si>
    <t>Navy Stripe Scarf</t>
  </si>
  <si>
    <t>Fleece</t>
  </si>
  <si>
    <t>Male, sportswear</t>
  </si>
  <si>
    <t>Swimming trunks</t>
  </si>
  <si>
    <t>Pyjamas</t>
  </si>
  <si>
    <t>10 pants needed, Primark, Supermarket, Matalan, Amazon, 1 year</t>
  </si>
  <si>
    <t>Contrast Trim Loose Fit Boxers 10 Pack</t>
  </si>
  <si>
    <t>16 pairs needed, of which 7 everyday socks, Primark, Supermarket, Matalan, Amazon. 1 year</t>
  </si>
  <si>
    <t>Socks (trainer)</t>
  </si>
  <si>
    <t>16 pairs needed, 7 trainer socks. Primark, Supermarket, Matalan, Amazon. 1 year</t>
  </si>
  <si>
    <t>White Trainer Liner Socks 7 Pack</t>
  </si>
  <si>
    <t>Socks (walking)</t>
  </si>
  <si>
    <t xml:space="preserve"> 2 pairs of walking socks. Primark, Supermarket, Matalan, Amazon. 2 years</t>
  </si>
  <si>
    <t>Hiking Ankle Socks Set</t>
  </si>
  <si>
    <t>Vests</t>
  </si>
  <si>
    <t>10 vests needed. Primark, Supermarket, Matalan, Amazon, 1 year</t>
  </si>
  <si>
    <t>White Vest Tops 3 Pack</t>
  </si>
  <si>
    <t>Vests (thermal)</t>
  </si>
  <si>
    <t>Amazon</t>
  </si>
  <si>
    <t>2 thermal vests needed. Primark, Supermarket, Matalan, Amazon, 2 years</t>
  </si>
  <si>
    <t>White 'Maximum Warmth' Thermal Short Sleeve T-Shirt</t>
  </si>
  <si>
    <t xml:space="preserve">Shirts, casual (long sleeved) </t>
  </si>
  <si>
    <t>3 long sleeve shirts needed - 2 casual + 1 smart shirt needed. Primark, Supermarket, Matalan, Amazon. 3 years.</t>
  </si>
  <si>
    <t>Textured cotton shirt</t>
  </si>
  <si>
    <t xml:space="preserve">Shirts, smart (long sleeved) </t>
  </si>
  <si>
    <t>Regular Fit Cotton Check Shirt</t>
  </si>
  <si>
    <t>Shirts, casual (short sleeved)</t>
  </si>
  <si>
    <t>3 short sleeve shirts needed - 1 casual + 2 smart. Primark, Supermarket, Matalan, Amazon. 3 years.</t>
  </si>
  <si>
    <t>Navy Stripe Shirt</t>
  </si>
  <si>
    <t>Shirts, smart (short sleeved)</t>
  </si>
  <si>
    <t>Cotton Poplin Short Sleeve Shirt</t>
  </si>
  <si>
    <t xml:space="preserve"> Primark, Supermarket, Matalan, Amazon. 2 years. FG3 said 4 t-shirts</t>
  </si>
  <si>
    <t>Crew neck t shirt £3.50 each or £5 for 2</t>
  </si>
  <si>
    <t>2 needed, 1 light v neck jumper and 1 thick jumper. Primark, Supermarket, Matalan, Amazon. 4 years. CB4 increased to 4 total - 2 light and 2 thick</t>
  </si>
  <si>
    <t>Soft Touch V Neck Jumper (range of colours available). Price reflects offer of 2 for £18 or £10 each.</t>
  </si>
  <si>
    <t>Lincoln Navy 7 Gauge Knitted Jumper</t>
  </si>
  <si>
    <t>Cardigan</t>
  </si>
  <si>
    <t>1 cardigan needed, Primark, Supermarket, Matalan, Amazon, 4 years</t>
  </si>
  <si>
    <t>Soft Touch V Neck Cardigan</t>
  </si>
  <si>
    <t>3 pairs of jeans needed. Primark, Supermarket, Matalan, Amazon. 2 years.</t>
  </si>
  <si>
    <t>Dark Wash Stretch Straight Fit Jeans (range of colours available)</t>
  </si>
  <si>
    <t>3 pairs of smart chinos needed. Primark, Supermarket, Matalan, Amazon. 4 years.</t>
  </si>
  <si>
    <t>Khaki Straight Fit Chinos with Stretch (range of colours available)</t>
  </si>
  <si>
    <t>1 pair of jogging bottoms needed. CB4 increased to 2 pairs. Reduced lifetime to 1 year</t>
  </si>
  <si>
    <t>Navy and Black Jersey Joggers 2 Pack</t>
  </si>
  <si>
    <t>2 pairs of shorts needed. Primark, Supermarket, Matalan, Amazon, lifetime? CB4 said 2 years</t>
  </si>
  <si>
    <t>Suit</t>
  </si>
  <si>
    <t>1 suit needed, black so can wear to funerals. CB4 said 5 years</t>
  </si>
  <si>
    <t>Taylor &amp; Wright Panama Tailored Fit Suit Jacket (£30)+ Trousers (£15)</t>
  </si>
  <si>
    <t>1 fleece needed, Primark, Supermarket, Matalan, Amazon, 5 years</t>
  </si>
  <si>
    <t>Regatta Dark Grey Thompson Fleece</t>
  </si>
  <si>
    <t>Jacket (light)</t>
  </si>
  <si>
    <t>1 summer lightweight jacket such as denim or harrington, Primark, Supermarket, Matalan, Amazon, 2 years</t>
  </si>
  <si>
    <t>Khaki Showerproof Harrington Jacket</t>
  </si>
  <si>
    <t>3/4 length heavy smart winter coat, Matalan, 10 years</t>
  </si>
  <si>
    <t>Felted wool-blend car coat</t>
  </si>
  <si>
    <t>Waterproof coat</t>
  </si>
  <si>
    <t>1 waterproof anorak with hood, 10 years.</t>
  </si>
  <si>
    <t>Regatta Navy Calderdale IV Jacket</t>
  </si>
  <si>
    <t>1 pair needed, 1 year</t>
  </si>
  <si>
    <t>Striped Swim Shorts</t>
  </si>
  <si>
    <t>1 needed. 10 years.</t>
  </si>
  <si>
    <t>Fleece Dressing Gown</t>
  </si>
  <si>
    <t>2 pairs needed. 1 year</t>
  </si>
  <si>
    <t>Charcoal Stripe Jersey Pyjamas</t>
  </si>
  <si>
    <t>Hat, winter</t>
  </si>
  <si>
    <t>1 set: hat, gloves, scarf. Primark, Supermarket, Matalan, Amazon, 10 years</t>
  </si>
  <si>
    <t>Thinsulate Thermal Beanie Hat</t>
  </si>
  <si>
    <t>Male, clothing accessories</t>
  </si>
  <si>
    <t>Ties</t>
  </si>
  <si>
    <t>2 ties needed, Primark, Supermarket, Matalan, Amazon, 10 years</t>
  </si>
  <si>
    <t>Taylor &amp; Wright Plain Texture Tie (range of colours available)</t>
  </si>
  <si>
    <t>Male clothing, accessories</t>
  </si>
  <si>
    <t>Hat, summer</t>
  </si>
  <si>
    <t>Baseball hat, Cb4 said 1 year</t>
  </si>
  <si>
    <t>Black Packable Cap</t>
  </si>
  <si>
    <t>Slippers</t>
  </si>
  <si>
    <t>Trainers</t>
  </si>
  <si>
    <t>Sandals</t>
  </si>
  <si>
    <t>Male, footwear</t>
  </si>
  <si>
    <t>Shoes (smart)</t>
  </si>
  <si>
    <t>Clarks</t>
  </si>
  <si>
    <t>SMP</t>
  </si>
  <si>
    <t>1 pair needed. Supermarket. 1 year.</t>
  </si>
  <si>
    <t>Herringbone Mule Slippers</t>
  </si>
  <si>
    <t xml:space="preserve">1 pair smart leather shoes needed, Deichmann, 2 years. CB4 changed retailer to Clarks </t>
  </si>
  <si>
    <t>Sidton Edge Black Leather. Range of styles.</t>
  </si>
  <si>
    <t>1 pair, Sports Direct, 1 year.</t>
  </si>
  <si>
    <t>Reebok Quick Chase Running Shoes</t>
  </si>
  <si>
    <t xml:space="preserve">1 pair of sandals, Deichmann, 5 years. CB4 changed retailer to Clarks </t>
  </si>
  <si>
    <t>Brixby Shore</t>
  </si>
  <si>
    <t>Walking shoes</t>
  </si>
  <si>
    <t>Walking shoes, Go Outdoors, 2 years. CB4 increased quality in line with SFP. 10 years</t>
  </si>
  <si>
    <t>Hi Tec Men's Eurotrek Lite Walking Boots</t>
  </si>
  <si>
    <t>D: Housing costs</t>
  </si>
  <si>
    <t>D1</t>
  </si>
  <si>
    <t>Rent</t>
  </si>
  <si>
    <t>D3</t>
  </si>
  <si>
    <t>Water rates</t>
  </si>
  <si>
    <t>D4</t>
  </si>
  <si>
    <t>N/A</t>
  </si>
  <si>
    <t>Council tax</t>
  </si>
  <si>
    <t>D5</t>
  </si>
  <si>
    <t>Contents insurance</t>
  </si>
  <si>
    <t>Insurance</t>
  </si>
  <si>
    <t>D6</t>
  </si>
  <si>
    <t>Fuel</t>
  </si>
  <si>
    <t>D7</t>
  </si>
  <si>
    <t>House maintenance</t>
  </si>
  <si>
    <t>Decorating and other house maintenance</t>
  </si>
  <si>
    <t xml:space="preserve">£100 per year to maintain condition of property and repair minor damage. Important to keep rented property in original condition in order to get deposit back. </t>
  </si>
  <si>
    <t>Social housing 1 bed flat</t>
  </si>
  <si>
    <t>Uprated based on policy (4% increase)</t>
  </si>
  <si>
    <t>Contents insurance based on 1 bed flat, social rent</t>
  </si>
  <si>
    <t>£76.68 paid in 12 monthly instalments of £6.39</t>
  </si>
  <si>
    <t xml:space="preserve">Severn Trent price increases: 
2020/21=3.1%
2021/22=5.8%
2022/23=10.2%
1.031*1.058*1.102=1.2021
2019 value=6.19
10.11*1.2021=12.15
</t>
  </si>
  <si>
    <t>E: Household goods and services</t>
  </si>
  <si>
    <t>E1</t>
  </si>
  <si>
    <t>Hall</t>
  </si>
  <si>
    <t>Lampshade for central light</t>
  </si>
  <si>
    <t>Light bulb</t>
  </si>
  <si>
    <t>Door mat</t>
  </si>
  <si>
    <t>Argos</t>
  </si>
  <si>
    <t>Argos Home Coir Flatweave Doormat - 40 x 60cm - Natural (with non-slip backing)</t>
  </si>
  <si>
    <t>The Range</t>
  </si>
  <si>
    <t>Living area</t>
  </si>
  <si>
    <t xml:space="preserve">Curtains </t>
  </si>
  <si>
    <t>Curtain pole</t>
  </si>
  <si>
    <t>Dunelm</t>
  </si>
  <si>
    <t>Wire for net curtains</t>
  </si>
  <si>
    <t>Wilko 108 inch Curtain Wire</t>
  </si>
  <si>
    <t>Sofa (2 seater)</t>
  </si>
  <si>
    <t>Cushions</t>
  </si>
  <si>
    <t>Storage unit</t>
  </si>
  <si>
    <t>Bin</t>
  </si>
  <si>
    <t>B&amp;Q</t>
  </si>
  <si>
    <t>Personalisation</t>
  </si>
  <si>
    <t>Dining area</t>
  </si>
  <si>
    <t>Tablemats</t>
  </si>
  <si>
    <t>Set of 4 Simply Grey Polka Dot Placemats (range of patterns and colours)</t>
  </si>
  <si>
    <t>Coasters</t>
  </si>
  <si>
    <t>Set of 4 Simply Grey Polka Dot Coasters</t>
  </si>
  <si>
    <t>Kitchen</t>
  </si>
  <si>
    <t>Blind</t>
  </si>
  <si>
    <t>Argos Home Blackout Insulating Roller Blind - 4ft - White. W120cm x D160cm</t>
  </si>
  <si>
    <t>Kitchen, tableware</t>
  </si>
  <si>
    <t>Crockery</t>
  </si>
  <si>
    <t>Mugs</t>
  </si>
  <si>
    <t>Cutlery</t>
  </si>
  <si>
    <t>Serving spoons</t>
  </si>
  <si>
    <t>B&amp;M</t>
  </si>
  <si>
    <t>Wine glasses</t>
  </si>
  <si>
    <t>White Salt and Pepper Pots</t>
  </si>
  <si>
    <t>Kitchen, appliances</t>
  </si>
  <si>
    <t>Microwave</t>
  </si>
  <si>
    <t>Fridge freezer</t>
  </si>
  <si>
    <t>Cooker</t>
  </si>
  <si>
    <t>Washing machine</t>
  </si>
  <si>
    <t>Toaster</t>
  </si>
  <si>
    <t>Kettle</t>
  </si>
  <si>
    <t>Hand blender</t>
  </si>
  <si>
    <t>Tower 3-in-1 Hand Blender. Includes stainless steel blade, 600ml beaker, chopping attachment and whisk</t>
  </si>
  <si>
    <t>Kitchen, cookware</t>
  </si>
  <si>
    <t>Saucepans</t>
  </si>
  <si>
    <t>Frying pan</t>
  </si>
  <si>
    <t>Knives</t>
  </si>
  <si>
    <t>Kitchen, accessories</t>
  </si>
  <si>
    <t>Roasting tin</t>
  </si>
  <si>
    <t>Bun tin</t>
  </si>
  <si>
    <t>Cake tin</t>
  </si>
  <si>
    <t>Colander</t>
  </si>
  <si>
    <t>Sieve</t>
  </si>
  <si>
    <t>Cheese grater</t>
  </si>
  <si>
    <t>Dunelm Silicone Grater</t>
  </si>
  <si>
    <t>Utensils</t>
  </si>
  <si>
    <t>Measuring jug</t>
  </si>
  <si>
    <t>Scales</t>
  </si>
  <si>
    <t>Bottle opener</t>
  </si>
  <si>
    <t>Storage canisters</t>
  </si>
  <si>
    <t>Kitchen, consumables</t>
  </si>
  <si>
    <t>Bin liners</t>
  </si>
  <si>
    <t>George Home Plastic Tray</t>
  </si>
  <si>
    <t>Washing up bowl</t>
  </si>
  <si>
    <t>George Home Recycled Plastic Washing Up Bowl Grey</t>
  </si>
  <si>
    <t>Drainer</t>
  </si>
  <si>
    <t>George Home Recycled Plastic Dish Drainer Grey</t>
  </si>
  <si>
    <t>Kitchen, laundry</t>
  </si>
  <si>
    <t>Fabric conditioner</t>
  </si>
  <si>
    <t>Iron</t>
  </si>
  <si>
    <t>Ironing board</t>
  </si>
  <si>
    <t>Ironing board cover</t>
  </si>
  <si>
    <t>Kitchen, cleaning</t>
  </si>
  <si>
    <t>Vacuum cleaner</t>
  </si>
  <si>
    <t>VAX Mach Air Revive UCA2GEV1 Upright Bagless Vacuum Cleaner - Grey &amp; Red</t>
  </si>
  <si>
    <t>Dustpan &amp; brush</t>
  </si>
  <si>
    <t>Scouring/sponge pads</t>
  </si>
  <si>
    <t>Springforce Sponge Scourers 8 Pack</t>
  </si>
  <si>
    <t>Kitchen towel</t>
  </si>
  <si>
    <t>Tesco Kitchen Towel 4 Roll</t>
  </si>
  <si>
    <t>Oven gloves</t>
  </si>
  <si>
    <t>Tea towels</t>
  </si>
  <si>
    <t xml:space="preserve">Hand towels </t>
  </si>
  <si>
    <t>Washing up liquid</t>
  </si>
  <si>
    <t>Foil</t>
  </si>
  <si>
    <t>Tesco Kitchen Foil 10M X 290Mm</t>
  </si>
  <si>
    <t>Clingfilm</t>
  </si>
  <si>
    <t>Tesco Antibacterial Multi Purpose Spray 750Ml</t>
  </si>
  <si>
    <t>Rubber gloves</t>
  </si>
  <si>
    <t>Tesco Dishwashing Rubber Gloves (rang of sizes)</t>
  </si>
  <si>
    <t>Bleach</t>
  </si>
  <si>
    <t>Sewing kit</t>
  </si>
  <si>
    <t>Bathroom</t>
  </si>
  <si>
    <t>Medicine cabinet</t>
  </si>
  <si>
    <t>Flannels</t>
  </si>
  <si>
    <t>Bath mat (for floor)</t>
  </si>
  <si>
    <t>Shower curtain</t>
  </si>
  <si>
    <t>Argos Home Shower Curtain - White (hand-washable)</t>
  </si>
  <si>
    <t>Toilet cleaner</t>
  </si>
  <si>
    <t>Toilet brush</t>
  </si>
  <si>
    <t>Tesco Toilet Brush</t>
  </si>
  <si>
    <t>Squeegee</t>
  </si>
  <si>
    <t>Salter Electronic Glass Platform Scales</t>
  </si>
  <si>
    <t>Bedroom</t>
  </si>
  <si>
    <t xml:space="preserve">Bedroom </t>
  </si>
  <si>
    <t>Bed, double</t>
  </si>
  <si>
    <t>Mattress, double</t>
  </si>
  <si>
    <t>Dreams</t>
  </si>
  <si>
    <t>Mattress protector</t>
  </si>
  <si>
    <t>Wardrobe</t>
  </si>
  <si>
    <t>Drawers</t>
  </si>
  <si>
    <t>Bedside table</t>
  </si>
  <si>
    <t>Lamp</t>
  </si>
  <si>
    <t xml:space="preserve">Duvet </t>
  </si>
  <si>
    <t>Pillows</t>
  </si>
  <si>
    <t>Sheets, fitted</t>
  </si>
  <si>
    <t>Duvet covers</t>
  </si>
  <si>
    <t>Pillow cases</t>
  </si>
  <si>
    <t>George Home White Brushed Cotton Pillowcase Pair</t>
  </si>
  <si>
    <t>Washing liquid</t>
  </si>
  <si>
    <t>DFS</t>
  </si>
  <si>
    <t>Security</t>
  </si>
  <si>
    <t>Locking door chain</t>
  </si>
  <si>
    <t>FG3 added safety chain for door B&amp;Q, 20 years</t>
  </si>
  <si>
    <t>Smith &amp; Locke TT4000 Chrome effect Steel Door chain, (L)195mm</t>
  </si>
  <si>
    <t>Door viewer</t>
  </si>
  <si>
    <t>Spy hole, 20 years.</t>
  </si>
  <si>
    <t>Smith &amp; Locke Chrome effect Galvanised Brass 200° Door viewer, (Dia)25.9mm</t>
  </si>
  <si>
    <t>For outside, cheapest coconut matting 'welcome' style, Argos, Wilko, Homebase, 5 years.</t>
  </si>
  <si>
    <t>For inside, rubber backed approx. £5, Argos, Wilko, Homebase, 5 years.</t>
  </si>
  <si>
    <t>Henna 3 Tier 28cm Grey Faux Linen Shade (range of colours/styles available at same price)</t>
  </si>
  <si>
    <t xml:space="preserve">Energy efficient bulb. FG3 said 2 years </t>
  </si>
  <si>
    <t>Wilko 1 pack Bayonet B22/BC LED 810 Lumens Dimmabl e Daylight GLS Light Bulb</t>
  </si>
  <si>
    <t>Coat hooks</t>
  </si>
  <si>
    <t>Row of 4 hooks. Argos, Wilko, Homebase.  20 years.</t>
  </si>
  <si>
    <t>Wilko Chrome and Pine Key Hook Rail</t>
  </si>
  <si>
    <t>Shoe storage</t>
  </si>
  <si>
    <t>Shoe rack/cupboard to hold 12 pairs (could be in hall or bedroom), approx. £20, Ikea, B+Q, Argos, 20 years</t>
  </si>
  <si>
    <t>Habitat Jorn 4 Tier Shoe Rack - White</t>
  </si>
  <si>
    <t>Lined and washable, eyelet or tab top style curtains, Dunelm, 10 years. FG3 increased quality to approx. £60 for pair. Said increased price could include larger dimensions to give more choice. Washable blackout throughout</t>
  </si>
  <si>
    <t>Wilko Stone Eclipse Eyelet Blackout Curtains 228 W x 228cm D (machine washable at 30 degrees)</t>
  </si>
  <si>
    <t>Metal curtain pole from Wilkos/Dunelm/B&amp;Q. Lasting 15 years. FG3 increased lifetime to 20 years</t>
  </si>
  <si>
    <t>Wilko Tivoli 170 - 300cm Extendable Satin Silver Effect Curtain Pole</t>
  </si>
  <si>
    <t>Net curtains</t>
  </si>
  <si>
    <t>Cheapest nets for privacy, Dunelm, Ikea, Argos, B+Q, 10 years. CB3 reduced lifetime to 7 years</t>
  </si>
  <si>
    <t xml:space="preserve">Needed for the net curtains. CB3 said 7 years </t>
  </si>
  <si>
    <t>1 needed. From DFS/SCS. Matching sofa and sofa bed. £1000 for both. Fabric. Lasting 15 years. CB4 changed lifetime to 10 years</t>
  </si>
  <si>
    <t xml:space="preserve">Ludo 2 Seater Sofa </t>
  </si>
  <si>
    <t>Sofabed (2 seater)</t>
  </si>
  <si>
    <t>Ludo 2 Seater Sofa Bed</t>
  </si>
  <si>
    <t>Foot stool</t>
  </si>
  <si>
    <t xml:space="preserve">Footstool with storage. Matching sofas. From DFS/SCS. Lasting 15 years. </t>
  </si>
  <si>
    <r>
      <rPr>
        <sz val="8"/>
        <rFont val="Arial"/>
        <family val="2"/>
      </rPr>
      <t>Ludo Storage Footstoo</t>
    </r>
    <r>
      <rPr>
        <b/>
        <sz val="8"/>
        <rFont val="Arial"/>
        <family val="2"/>
      </rPr>
      <t>l</t>
    </r>
  </si>
  <si>
    <t>Textured Chenille Cushion</t>
  </si>
  <si>
    <t>Side tables</t>
  </si>
  <si>
    <t xml:space="preserve">Nested side tables. Not flat pack. From Dunelm/The Range/B&amp;Q. Lasting 20 years (matching with bookcase). CB4 changed to cheaper side tables in line with Ppens. </t>
  </si>
  <si>
    <t>Argos Home Gloucester Nest of 3 Solid Wood Tables - Natural</t>
  </si>
  <si>
    <t>Freestanding radiator</t>
  </si>
  <si>
    <t>Small oil-filled radiator from Dunelm/B&amp;Q/The Range/Amazon/Argos. Lasting 10 years.</t>
  </si>
  <si>
    <t>Oil Filled Radiator - 2000W Includes thermostatic control and caster wheels</t>
  </si>
  <si>
    <t>Bookcase</t>
  </si>
  <si>
    <t xml:space="preserve">Half-height bookcase. Solid (not flat pack) and matching the side tables. Lasting 20 years. </t>
  </si>
  <si>
    <t>Argos Home Hartland Short Bookcase - Light Wood</t>
  </si>
  <si>
    <t>Corona Pine Sideboard. H81cm x W100cm x D43cm</t>
  </si>
  <si>
    <t>Table lamp</t>
  </si>
  <si>
    <t>Rimini Cream Touch Dimmable lamp</t>
  </si>
  <si>
    <t>Floor lamp</t>
  </si>
  <si>
    <t>Matt Grey Mother &amp; child floor light</t>
  </si>
  <si>
    <t>Dining table</t>
  </si>
  <si>
    <t>Argos Home Extending 4 - 6 Seater Table - Light Oak Effect</t>
  </si>
  <si>
    <t>Dining chairs</t>
  </si>
  <si>
    <t>Dropleaf table and 4 chairs (2 solid, 2 folding). Argos, Supermarket. 20 years. CB3 changed in line with SFP: 4 needed. From Dunelm/B&amp;Q, Homebase/Ikea/Wilko/Argos. Lasting 20 years. CB4 changed spec in line with Ppens: Folding table and 4 solid chairs.. From Argos, ikea, Amazon. Lasting 20 years</t>
  </si>
  <si>
    <t>Habitat Chicago Pair of Dining Chairs - Two Tone</t>
  </si>
  <si>
    <t xml:space="preserve">Energy efficient. FG3 said 2 years </t>
  </si>
  <si>
    <t>Cheap roller blind from B&amp;Q/Argos/Dunelm. Lasting 10 years. CB3 reduced lifetime to 5 years</t>
  </si>
  <si>
    <t>George Home Basic White Dinner Set. Each set includes 4x plates, side plates and bowls.</t>
  </si>
  <si>
    <t xml:space="preserve">8 needed. From supermarket. CB3 said 8 mugs lasting 5 years. </t>
  </si>
  <si>
    <t>George Home Simply White Mug Pack (4pce)</t>
  </si>
  <si>
    <t>George Home Horizon Stainless Steel Cutlery Set 32 Piece</t>
  </si>
  <si>
    <t>George Home York Stainless Steel Serving Spoons</t>
  </si>
  <si>
    <t>Tumblers - tall</t>
  </si>
  <si>
    <t xml:space="preserve">4 needed. Cheapest ok. Argos, Supermarket. 5 years.CB3 said 8 tall and 8 short tumblers plus 8 wine glasses. Approx. £2 per glass. CB4 changed: 8 tall glasses and 8 wine glassed. Cheapest, 2 years </t>
  </si>
  <si>
    <t xml:space="preserve">George Home Feature Hiball Glass </t>
  </si>
  <si>
    <t xml:space="preserve">4 needed. Cheapest ok. Argos, Supermarket. 5 years. CB3 said 8 tall and 8 short tumblers plus 8 wine glasses. Approx. £2 per glass. CB4 changed: 8 tall glasses and 8 wine glassed. Cheapest, 2 years </t>
  </si>
  <si>
    <t xml:space="preserve">George Home Four Lyric Wine Glasses </t>
  </si>
  <si>
    <t>Cruet</t>
  </si>
  <si>
    <t>Gravy boat</t>
  </si>
  <si>
    <t>Ceramic gravy boat, Argos, Supermarket, 20 years</t>
  </si>
  <si>
    <t>George Home White Gravy Boat</t>
  </si>
  <si>
    <t>Napkins</t>
  </si>
  <si>
    <t>Tesco Napkins White 33Cm 2Ply 50 Pack</t>
  </si>
  <si>
    <t>1 needed. No other details discussed. Ppens said: Cheapest 700w ok, Supermarket, 8 years. Cb3 increased budget to £100 and said the microwave would last 5 years. CB4 lowered spec in line with Ppens: Cheapest 700w ok, Supermarket, 8 years.</t>
  </si>
  <si>
    <t xml:space="preserve">Manual Microwave - White (700W) </t>
  </si>
  <si>
    <t>AO</t>
  </si>
  <si>
    <t>1 needed. No other details discussed. Ppens said: 50/50 frost free Fridge freezer, Currys, AO, 10 years. CB3 agreed with these specs.</t>
  </si>
  <si>
    <t>Electra ECFF165WE 50/50 Frost Free Fridge Freezer - White - F Rated</t>
  </si>
  <si>
    <t xml:space="preserve">1 needed. No other details discussed. Ppens said: Electric oven and hob, lot of debate about whether hob should be halogen induction (phasing out of gas in approx. 15 years) price standard electric and halogen induction and take to check back, Currys, AO, 10 years. CB3 said induction hob was not necessary. </t>
  </si>
  <si>
    <t>Indesit Cloe IS5V4KHW 50cm Electric Cooker with Ceramic Hob - White - A Rated</t>
  </si>
  <si>
    <t>Currys</t>
  </si>
  <si>
    <t>1 needed. No other details discussed. Ppens said: 7kg, 1200 rpm, good energy rating washing machine, Currys, AO, 8 years. 5 loads a fortnight for couple. CB3 agreed with these specs</t>
  </si>
  <si>
    <t>Beko WTL82051W 8Kg Washing Machine with 1200 rpm - White - C Rated</t>
  </si>
  <si>
    <t xml:space="preserve">1 needed. No other details discussed. Ppens said: Mid-range Supermarket quality, Supermarket, 6 years. CB3 agreed with these specs. </t>
  </si>
  <si>
    <t>George Home Grey textured 2 Slice Toaster</t>
  </si>
  <si>
    <t>George Home Grey Textured Fast Boil Kettle</t>
  </si>
  <si>
    <t>Slow cooker</t>
  </si>
  <si>
    <t>1 needed. No other details discussed. Ppens said: Small slow cooker, cheapest ok, Supermarket, 15 years. CB3 agreed with these specs</t>
  </si>
  <si>
    <t>George Home Grey Compact Slow Cooker</t>
  </si>
  <si>
    <t>Hand blender added. CB3 agreed specs in line with Ppens: Multi-purpose hand blender with whisk attachment, Supermarket, Argos, The Range, B+M, 10 years</t>
  </si>
  <si>
    <t>Saucepans needed. No other details discussed. Ppens said: Set of 3 or 4 non-stick saucepans, cheapest recognisable brand e.g. Tefal, 8 years or 15 years no decision. CB3 said 8 years.</t>
  </si>
  <si>
    <t>Tefal Delight Non-stick Pan Set. Set Consists of 14cm Milkpan, 16/18cm Saucepans with Lids, 20/24cm Frying Pans</t>
  </si>
  <si>
    <t>Joseph Joseph Duo 5 Piece Knife Block Set - Multicoloured</t>
  </si>
  <si>
    <t>Knife sharpener</t>
  </si>
  <si>
    <t xml:space="preserve"> FG3 confirmed 15 years in line with knife set. </t>
  </si>
  <si>
    <t>Knife Sharpener</t>
  </si>
  <si>
    <t>Baking sheet</t>
  </si>
  <si>
    <t>CB3 added 2 baking trays from Asda, lasting 5 years</t>
  </si>
  <si>
    <t>George Home Non-Stick Grey 40cm Oven Tray</t>
  </si>
  <si>
    <t>CB3 added 1 roasting tin from Asda, lasting 5 years</t>
  </si>
  <si>
    <t>George Home Non-Stick Roaster Grey 38cm</t>
  </si>
  <si>
    <t>CB3 added 1 bun tin from Asda, lasting 5 years</t>
  </si>
  <si>
    <t>George Home Non-Stick 6 Cup Muffin Tray</t>
  </si>
  <si>
    <t>George Home Non-Stick Springform Cake Tin</t>
  </si>
  <si>
    <t>Loaf tin</t>
  </si>
  <si>
    <t>CB3 added 1 loaf tin from Asda, lasting 5 years</t>
  </si>
  <si>
    <t>George Home Non-Stick Loaf Pan 24cm</t>
  </si>
  <si>
    <t>George Home Stainless Steel Colander</t>
  </si>
  <si>
    <t xml:space="preserve">1 needed. No other details discussed.CB3 changed lifetime to 15 years.  </t>
  </si>
  <si>
    <t>George Home Stainless Steel Sieve</t>
  </si>
  <si>
    <t>Casserole dish</t>
  </si>
  <si>
    <t>Pyrex 3 Piece Clear Casserole Set</t>
  </si>
  <si>
    <t>Lasagne dish</t>
  </si>
  <si>
    <t>Pyrex Glass Dish With Lid 1.5L</t>
  </si>
  <si>
    <t>Argos Home Silicone 8 Piece Utensil Set - Black. Includes                               Utensil caddy.
Serving spoon.
Slotted turner.
Spatula.
Slotted masher.
Whisk.
Pastry brush, Icing spreader.</t>
  </si>
  <si>
    <t>Wooden spoons</t>
  </si>
  <si>
    <t>George Home Wooden Spoon</t>
  </si>
  <si>
    <t>George Home Corkscrew - with built-in bottle opener</t>
  </si>
  <si>
    <t>TIn opener</t>
  </si>
  <si>
    <t xml:space="preserve">CB4 added electric tin opener in line with Ppens: Approx. £10 lasting 6 years. </t>
  </si>
  <si>
    <t>George Home Black Electric Can Opener</t>
  </si>
  <si>
    <t>Peeler</t>
  </si>
  <si>
    <t>George Home Plastic Peeler</t>
  </si>
  <si>
    <t>Cb4 added in line with couples: Pyrex jug, Supermarket, Argos, The Range, B+M, 35 years</t>
  </si>
  <si>
    <t>Pyrex Measuring Jug</t>
  </si>
  <si>
    <t>George Home White Digital Scale</t>
  </si>
  <si>
    <t>Batteries</t>
  </si>
  <si>
    <t xml:space="preserve">Batteries for scales and bedroom clocks. Replaced how often? Lifetime set to 2 years for now. CB4 changed: £15 budget per year to cover all batteries </t>
  </si>
  <si>
    <t>Mixing bowls</t>
  </si>
  <si>
    <t>Cb4 added in line with couples: Set of pyrex or equivalent glass bowls, Supermarket, Argos, The Range, B+M, 35 years</t>
  </si>
  <si>
    <t>Pyrex 3 Piece Glass Bowl Set</t>
  </si>
  <si>
    <t>Chopping board</t>
  </si>
  <si>
    <t>Plastic Chopping Boards</t>
  </si>
  <si>
    <t>CB3 added cheapest silicone oven gloves. Lasting 5 years.</t>
  </si>
  <si>
    <t>Grey Silicone Double Oven Glove</t>
  </si>
  <si>
    <t>Tontarelli 25 Litre Swing Top Bin - Black</t>
  </si>
  <si>
    <t>CB3 added 1 bin liner per day. Cb4 said change every 2 days</t>
  </si>
  <si>
    <t>Tesco 30 pedal bin liners 22L</t>
  </si>
  <si>
    <t>Storage containers</t>
  </si>
  <si>
    <t>Set of plastic tubs with sealed lids for food storage. No other details discussed. Ppens said: Set of plastic tubs with press on lids, Supermarket, Argos, Home Bargains, 10 years.CB4 changed to IKEA 17-piece set, 5 years</t>
  </si>
  <si>
    <t>IKEA PRUTA Plastic Container / Food Storage Containers 17 Piece Set (Ikea set sold on Amazon)</t>
  </si>
  <si>
    <t>Tray table approx £10, Argos, 20 years. CB4 changed to two plastic trays.</t>
  </si>
  <si>
    <t>Set Of 3 Tea, Coffee &amp; Sugar Canister - Cream. Range of colours.</t>
  </si>
  <si>
    <t>Kitchen towel holder</t>
  </si>
  <si>
    <t xml:space="preserve">Freestanding holder for kitchen roll. CB3 said it would last 10 years. </t>
  </si>
  <si>
    <t>Tuscan Bamboo Kitchen Roll Holder - Grey</t>
  </si>
  <si>
    <t>ASDA Sensitive Non-Bio Liquid 40 Washes</t>
  </si>
  <si>
    <t>No other details discussed. 5 washes per fortnight</t>
  </si>
  <si>
    <t>ASDA Sensitive Pure Cotton Fabric Softener 74 washes</t>
  </si>
  <si>
    <t>Soda crystals</t>
  </si>
  <si>
    <t xml:space="preserve">For laundry and washing machine maintanence. No other details discussed. Lifetime set to 3 months for now. CB3 said used for one wash per week. </t>
  </si>
  <si>
    <t>Dri Pak Soda Crystals (1 kg). Product recommends 1 Tablespoon (20g) in wash to soften water. 1000g/20g=50 weeks</t>
  </si>
  <si>
    <t>Airer</t>
  </si>
  <si>
    <t>Wileda 3 tier airer 15M</t>
  </si>
  <si>
    <t>Over radiator airer</t>
  </si>
  <si>
    <t>Addis Radiator Airer. NB: 4 provided as sold in packs of 2. Checked elsewhere and couldn't find 3 pack.</t>
  </si>
  <si>
    <t>Russell Hobbs Wrap and Clip Easy Store Steam Iron </t>
  </si>
  <si>
    <t>No other details discussed. Ppens said: Sturdy ironing board, 1 or 2 up the range, Argos, Supermarket, 35 years. CB3 changed lifetime to 15 years.</t>
  </si>
  <si>
    <t>Habitat Medium 110x34cm Ironing Board</t>
  </si>
  <si>
    <t xml:space="preserve">CB3 added cover. Cheapest okay. Replaced yearly. Cb4 changed to 2 years in line with Ppens </t>
  </si>
  <si>
    <t>Argos Home Medium 110x34cm Ironing Board Cover</t>
  </si>
  <si>
    <t>Washing basket</t>
  </si>
  <si>
    <t>Washing basket to carry the laundry to machine, 10 years. Wilko/Argos</t>
  </si>
  <si>
    <t>Strata 60 Litre Flexible Laundry Basket</t>
  </si>
  <si>
    <t>Laundry pegs</t>
  </si>
  <si>
    <t>Wilko Multicoloured Snapper Pegs 36 pack</t>
  </si>
  <si>
    <t>Spray mop</t>
  </si>
  <si>
    <t>Addis Spray Mop with machine washable microfibre mop head</t>
  </si>
  <si>
    <t>Mop head</t>
  </si>
  <si>
    <t>Spray Mop Refill</t>
  </si>
  <si>
    <t>Wilko Long Handled Dustpan and Brush Set</t>
  </si>
  <si>
    <t>Dish cloths</t>
  </si>
  <si>
    <t>Savers</t>
  </si>
  <si>
    <t>CB3 added one pack of woven dish cloths. 1 cloth per month. Cb4 suggested 7-pack of cloths on a roll (such as Elbow Grease). Washable. Lasting 1 year</t>
  </si>
  <si>
    <t>Elbow Grease Power Cloths 7 pack</t>
  </si>
  <si>
    <t>George Home Tea Towels 5pk</t>
  </si>
  <si>
    <t>No other details discussed. Ppens said: 1 bottle of Fairy Liquid replaced every 6 weeks. CB3 agreed with specs</t>
  </si>
  <si>
    <t>Fairy Original Washing Up Liquid Green with LiftAction 780ml</t>
  </si>
  <si>
    <t>Multi-surface spray</t>
  </si>
  <si>
    <t xml:space="preserve">CB3 added anti-bacterial spray. Replaced monthly. </t>
  </si>
  <si>
    <t>Disinfectant</t>
  </si>
  <si>
    <t>No other details discussed. Ppens said: Kitchen floor cleaner e.g. Flash. CB3 chaged lifetime to 6 months. CB4 changed to disinfectant e.g. Zoflora. 6 months</t>
  </si>
  <si>
    <t>Zoflora Linen Fresh Concentrated Disinfectant 500Ml</t>
  </si>
  <si>
    <t>Tesco Thick Bleach Citrus 2 Litre Bigger Pack Better Value</t>
  </si>
  <si>
    <t>Descaler</t>
  </si>
  <si>
    <t>Oust All Purpose Descaler 3-pk</t>
  </si>
  <si>
    <t>No other details discussed. Ppens said: Sponge scourers, replace pack every 6 weeks. CB3 said 1 per week</t>
  </si>
  <si>
    <t xml:space="preserve">Scourers </t>
  </si>
  <si>
    <t>CB4 addded in line with Ppens: 1 per week</t>
  </si>
  <si>
    <t>Tesco Pan Scourers 5 pack</t>
  </si>
  <si>
    <t>Cling Film 350mm x 40m</t>
  </si>
  <si>
    <t>Cb4 added in line with Ppens: Foil 10m roll, replace every 3 months</t>
  </si>
  <si>
    <t>CB4 added in line with Ppens. Rubber gloves, replace 4 times per year</t>
  </si>
  <si>
    <t>Household maintenance</t>
  </si>
  <si>
    <t>Tool kit</t>
  </si>
  <si>
    <t>FG3 added 1 tool kit. Lifetime of 20 years in line with 2018 groups.</t>
  </si>
  <si>
    <t>Guild 40 Piece Stubby Hand Tool Kit</t>
  </si>
  <si>
    <t>Cheapest sewing kit from Argos, B+M, Wilko. 5 years</t>
  </si>
  <si>
    <t>Korbond Sewing Kit in Case. Includes: 1 pair of scissors 1 analogue tape measure 1 thimble 1 needle threader 2 needles 2 dressmaker pins 2 safety pins 3 pearl buttons 1m hemming web, a selection of sewing threads</t>
  </si>
  <si>
    <t>Shoe polish</t>
  </si>
  <si>
    <t xml:space="preserve">FG3 added supermarket shoe polish lasting 5 years </t>
  </si>
  <si>
    <t>Kiwi Black Shoe Polish 100ml</t>
  </si>
  <si>
    <t>Aida White Mirrored Cabinet (W)370mm (H)465mm</t>
  </si>
  <si>
    <t>Bath sheets</t>
  </si>
  <si>
    <t>Egyptian Cotton Bath Sheet (range of colours)</t>
  </si>
  <si>
    <t>Egyptian Cotton Hand Towel (range of colours)</t>
  </si>
  <si>
    <t>Face Cloth (range of colours)</t>
  </si>
  <si>
    <t>George Home Rubber Backed Bath Mat Charcoal</t>
  </si>
  <si>
    <t xml:space="preserve">Non-slip bathmat </t>
  </si>
  <si>
    <t>Non slip bathmat for inside the bath/shower, 2 years</t>
  </si>
  <si>
    <t>George Home Rubber Bath Mat</t>
  </si>
  <si>
    <t>Laundry basket</t>
  </si>
  <si>
    <t>For collecting dirty washing. From Wilko or Argos. Lasting 15 years. CB4 reduced lifetime to 10 years</t>
  </si>
  <si>
    <t>Argos Home Pop Up Laundry Bin - Dove Grey. 53 litre capacity</t>
  </si>
  <si>
    <t>2 washable Shower curtains, one to have up while one in the wash, lifetime? CB3 changed lifetime to 4 years.</t>
  </si>
  <si>
    <t>Magnifying mirror</t>
  </si>
  <si>
    <t>Magnifying mirror for applying make up etc. cheapest ok, Wilko/Argos/supermarket/JL/B+Q, 20 years. CB4 reduced lifetime to 5 years</t>
  </si>
  <si>
    <t>Danielle Creations Chrome Beauty Mirror</t>
  </si>
  <si>
    <t>From Wilkos. Lasting 1 year.</t>
  </si>
  <si>
    <t>Wilko Window and Shower Squeegee</t>
  </si>
  <si>
    <t xml:space="preserve">From Wilko/supermarket. Replaced every 2 months. </t>
  </si>
  <si>
    <t>Tesco Active Toilet Gel Citrus 750ML</t>
  </si>
  <si>
    <t>Shower spray</t>
  </si>
  <si>
    <t>Tesco Daily Shower Cleaning Spray 750ml</t>
  </si>
  <si>
    <t>Small pedal bin from Wilko. Lasting 20 years. CB4 specified plastic pedal bin, not metal. FG3 changed to metal pedal bin but reduced lifetime to 5 years</t>
  </si>
  <si>
    <t>Wilko Small White Pedal Bin</t>
  </si>
  <si>
    <t>Pedal bin liners. 1 bin liner used every week.</t>
  </si>
  <si>
    <t>Wilko Pedal Bin Liners 50 pack</t>
  </si>
  <si>
    <t>Classic Divan Base - Double with 4 drawers</t>
  </si>
  <si>
    <t>Headboard</t>
  </si>
  <si>
    <t>Classic Fairfield Headboard</t>
  </si>
  <si>
    <t>Silentnight Heaton Pocket Sprung Mattress</t>
  </si>
  <si>
    <t>Ashdown 2 Door 2 Drawer Mirror Wardrobe - White (fully assembled)</t>
  </si>
  <si>
    <t>Ashdown 5 Drawer Chest - White (fully assembled)</t>
  </si>
  <si>
    <t>Ashdown 3 Drawer Bedside Table - White (fully assembled)</t>
  </si>
  <si>
    <t>Clock radio</t>
  </si>
  <si>
    <t>CB4 added in line with Ppens: Digital radio. From Currys/Supermarket. Lifetime? CB4 said 20 years</t>
  </si>
  <si>
    <t>MAJORITY Histon II Portable DAB+/FM Radio - Black</t>
  </si>
  <si>
    <t>Mirror</t>
  </si>
  <si>
    <t>Essentials Full Length Mirror 122x32cm Black</t>
  </si>
  <si>
    <t>Wilko Cream Milan Table Lamp</t>
  </si>
  <si>
    <t>Chair</t>
  </si>
  <si>
    <t>Astrid Chair</t>
  </si>
  <si>
    <t xml:space="preserve">Summer and winter duvet (clips together e.g. Fogarty brand), Dunelm, 8 years. CB3 said cheaper combi duvet  from supermarket okay. </t>
  </si>
  <si>
    <t>All Seasons Combi Duvet. Comes with 4.5 and 10.5 tog duvets which clip together to make 15 tog.</t>
  </si>
  <si>
    <t>Duvet</t>
  </si>
  <si>
    <t>Wilko Washable Supersoft 10.5 Tog Double Duvet</t>
  </si>
  <si>
    <t>Fogarty Duck Feather and Down Medium-Support Pillow Pair</t>
  </si>
  <si>
    <t>White Brushed Cotton Fitted Sheet</t>
  </si>
  <si>
    <t>Sheets, flat</t>
  </si>
  <si>
    <t>3 needed. Mid-range quality from the supermarket, 10 years. CB3 changed lifetime to 8 years.</t>
  </si>
  <si>
    <t>White Luxury 100% Cotton Flat Sheet</t>
  </si>
  <si>
    <t>George Home Just Wellness White Tencel Duvet Set</t>
  </si>
  <si>
    <t>George Home Mattress Protector Double</t>
  </si>
  <si>
    <t>Pillow protectors</t>
  </si>
  <si>
    <t xml:space="preserve">8 pillow protectors needed, cheap ok, Dunelm, Supermarket. CB3 changed lifetime to 4 years. </t>
  </si>
  <si>
    <t>Pillow Protector Pair</t>
  </si>
  <si>
    <t xml:space="preserve">Electric blanket </t>
  </si>
  <si>
    <t>Cb4 added in line with Ppens: 10 years</t>
  </si>
  <si>
    <t>Silentnight Comfort Control Electric Blanket</t>
  </si>
  <si>
    <t>Carpet</t>
  </si>
  <si>
    <t>Carpetright</t>
  </si>
  <si>
    <t xml:space="preserve">Trojan Carpet  (4 or 5 metres, 7 colours) £11.99m2, 4x2.5m = 10.4m2 (adds 10cm width) = £119.90. Plus Underlay:                       Patron Carpet Underlay 6.5mm 10m2=  £129.90. Plus gripper:  10m2 = £19.90. Plus fitting: £49.90. Plus door bar = £11.99 Plus delivery = 29.99. TOTAL = £361.58                             </t>
  </si>
  <si>
    <t>Living area+dining area</t>
  </si>
  <si>
    <t xml:space="preserve">Trojan Carpet  (4 or 5 metres, 7 colours) £11.99m2, 4x4.5m=£215.82. Plus Underlay: Patron Carpet Underlay 6.5mm 18m2= £233.82. Plus gripper: 18m2 = £35.82. Plus fitting: £89.82. Plus door bar = £11.99. Plus delivery = 29.99. TOTAL: £617.26                                                               </t>
  </si>
  <si>
    <t>Garden</t>
  </si>
  <si>
    <t>Table &amp; chairs</t>
  </si>
  <si>
    <t>Hawaii 3 Piece Bistro Set</t>
  </si>
  <si>
    <t xml:space="preserve">Approx. £20 lampshade in hall, living and dining areas, cheapest shade that comes in a range of colours for the bedroom, Dunelm, 20 years. CB3 changed all lightshades to £20, lasting 10 years. CB4 said: Dunelm, £25, 10 years. </t>
  </si>
  <si>
    <t>4 cushions approx. £10 each. From Dunelm/supermarket/The Range. Lasting 10 years. CB4 reduced lifetime to 2 years</t>
  </si>
  <si>
    <t>Storage unit to stand TV and photos on. CB4 changed storage unit in line with Ppens and SFP: 3ft wide. From Dunelm/The Range/B&amp;Q/Homebase/Wilkos.Solid wood lasting 20 years.</t>
  </si>
  <si>
    <t xml:space="preserve">£50 per year for items to personalise home, e.g. vase, ornaments, pictures, mirror etc. </t>
  </si>
  <si>
    <t xml:space="preserve">Table lamp approx £25, Dunelm, B&amp;Q, . CB3 changed budget to approximately £10 - as long as it has a touch dimmable feature or provides directional lighting. Lifetime 15 years. CB4 increased budget to £10-£12. </t>
  </si>
  <si>
    <t>1 directional floor lamp needed. From Dunelm/B&amp;Q/Homebase/(Ikea)/Wilkos. Lifetime not discussed. CB3 set lifetime to 15 years.</t>
  </si>
  <si>
    <t xml:space="preserve">Needed for the net curtains, lifetime? CB3 said 7 years </t>
  </si>
  <si>
    <t>Dropleaf table and 4 chairs (2 solid, 2 folding). Argos, Supermarket. 20 years. CB3 changed in line with SFP: Solid (not flat pack) table from Dunelm/B&amp;Q, Homebase/Ikea/Wilko/Argos. Lasting 20 years. CB4 changed spec in line with Ppens: Folding table and 4 solid chairs.. From Argos, ikea, Amazon. Lasting 20 years</t>
  </si>
  <si>
    <t>Set of 6. Cork backed. 20 years. CB3 changed lifetinme to 5 years.</t>
  </si>
  <si>
    <t>Set of 4 dinner plates and bowls. Cheapest. Argos,  Supermarket. 5 years. CB3 changed in line with SFP: 8 place settings needed: dinner plate, side plate, bowl. From supermarket. 5 years.</t>
  </si>
  <si>
    <t xml:space="preserve">Set of 4 knives, forks, spoons, teaspoons. Stainless steel. Cheapest, Argos, Supermarket, 20 years.CB3 changed in line with SFP: 8 place settings needed: knife, fork, spoon, teaspoon. From supermarket. Cheapest stainless steel okay. No lifetime given. Lifetime set at 10 years for now. CB3 changed lifetime to 20 years. </t>
  </si>
  <si>
    <t>2 large serving spoons, Argos, Supermarket. 20 years.</t>
  </si>
  <si>
    <t>Cheap salt and pepper mill, Argos, Supermarket, , 20 years. PPCB added in line with couples. CB4 confirmed 20 years</t>
  </si>
  <si>
    <t xml:space="preserve"> included in set above. 8 years </t>
  </si>
  <si>
    <t>Set of knives needed. No other details discussed. Ppens said: Knife set approx. £50-60, Argos, The Range, 35 years. CB3 changes lifetime to 15 years.</t>
  </si>
  <si>
    <t xml:space="preserve"> No other details discussed. Ppens said Two shallow cake tins, non-stick, Supermarket, Argos, The Range, B+M, 5 years. CB3 agreed with specs.CB4 said two needed</t>
  </si>
  <si>
    <t>CB3 addded standard box grater, lasting 10 years. Cb4 increased lifetime to 20 years in line with Ppens. FG3 increased quality - silicone base and handle</t>
  </si>
  <si>
    <t xml:space="preserve">1 needed. No other details discussed. Ppens said: Metal colander, Supermarket, Argos, The Range,B+M, 35 years CB3 changes lifetime to 15 years. CB4 increased to 35 years in line with Ppens </t>
  </si>
  <si>
    <t>CB3 added in line with SFP: Pyrex casserole dish. No other details discussed. Ppens said: Set of 3 pyrex casserole dishes, different sizes, Supermarket, Argos, The Range, B+M, 35 years. Cb3 changed lifetime to 15 years.CB4 increased to 35 years in line with PPens</t>
  </si>
  <si>
    <t xml:space="preserve">CB3 added in line with SFP:  No other details discussed. Lifetime set to 35 years for now in line with casserole dishes. CB3 changed lifetime to 15 years. </t>
  </si>
  <si>
    <t>CB3 added in line with SFP:  Utensils needed. No other details discussed. Ppens said: Silicone utensil set, cheapest ok, Supermarket, Argos, 10 years</t>
  </si>
  <si>
    <t xml:space="preserve">CB3 added in line with SFP:  Wooden spoons needed. No other details discussed. Lifetime set at 5 years for now. CB3 said 3 spoons, lasting 2 years. </t>
  </si>
  <si>
    <t>Trays</t>
  </si>
  <si>
    <t>CB3 added in line with SFP:  1 needed. No other details discussed. Lifetime set at 5 years for now. CB3 said 4 years.</t>
  </si>
  <si>
    <t>CB3 added in line with SFP: 1 needed. No other details discussed. Ppens said: Cheap peeler, Supermarket, Argos, The Range, B+M, 2 years</t>
  </si>
  <si>
    <t>CB3 added in line with SFP:  1 needed. No other details discussed. Ppens said: Digital scales, cheapest ok, Supermarket, Argos, The Range, B+M, 20 years, plus battery</t>
  </si>
  <si>
    <t>CB3 added a set of solid plastic chopping boards, lasting 5 years.</t>
  </si>
  <si>
    <t xml:space="preserve">CB3 added 1 small pedal bin for kitchen. CB4 changed to 25L, 15 years </t>
  </si>
  <si>
    <t>CB3 added in line with SFP:  1 needed. No other details discussed. Ppens said: Plastic washing up bowl, Supermarket, 2 years. CB3 agreed with specs</t>
  </si>
  <si>
    <t>CB3 added in line with SFP:  1 needed. No other details discussed. Ppens said: Plastic drainer, Supermarket, 2 years. CB3 agreed with specs</t>
  </si>
  <si>
    <t>CB3 added in line with SFP: For tea, coffee, sugar. No other details discussed. Lifetime set to 5 years for now. CB3 changed lifetime to 10 years. CB3 agreed with specs</t>
  </si>
  <si>
    <t xml:space="preserve">Liquid or powder. No other details discussed. 5 washes per fortnight. </t>
  </si>
  <si>
    <t xml:space="preserve">CB3 added in line with SFP:  Free standing airer, sturdy. Mid-range from Dunelm/Wilko/Supermarket/The Range. Lasting 10 years. CB3 changed lifetime to 15 years </t>
  </si>
  <si>
    <t>CB3 added in line with SFP:  No other details discussed. Ppens said: Steam iron, approx. £25, Supermarket, Argos, The Range, B+M, 5 years</t>
  </si>
  <si>
    <t>CB3 added in line with SFP:  Pegs to hang clothes to dry. 24 pegs lasting 3 years.</t>
  </si>
  <si>
    <t>No other details discussed. Lifetime set to 3 years for now.  CB3 changed lifetime to 10 years. CB4 changed traditional mop and bucket to spray mop, 5 years</t>
  </si>
  <si>
    <t>CB4 added washable spray mop refill replaced every 2 years</t>
  </si>
  <si>
    <t xml:space="preserve">CB3 added in line with SFP: No other details discussed. Ppens said: Basic upright vacuum cleaner, e.g. Hoover, Electrolux brand, Argos, 8 years. Cb3 reduced lifetime to 5 years.Cb4 changed lifetime to 8 years in line with Ppens </t>
  </si>
  <si>
    <t>CB3 added in line with SFP:No other details discussed. Ppens said: Cheap dust pan and brush, B&amp;Q, 5 years. CB3 reduced lifetime to 2 years Cb4 changed to long-handled dustpan and brush, 5 years</t>
  </si>
  <si>
    <t>CB3 added in line with SFP: Kitchen towel needed. No other details discussed. Ppens said: 2 pack replaced every 3 weeks. CB3 agreed with specs.</t>
  </si>
  <si>
    <t>CB3 added in line with SFP: No other details discussed. Lifetime set to 3 years for now. CB3 said 1 year and 5-pack okay</t>
  </si>
  <si>
    <t>No other details discussed. Ppens said: 1 litre bottle of bleach per week for kitchen and bathroom. CB3 said 2L would last 1 week. CB4 said bleach for kitchen 1 month</t>
  </si>
  <si>
    <t>Medicine cabinet with mirror, B&amp;Q, 20 years</t>
  </si>
  <si>
    <t>Toilet brush, replace yearly</t>
  </si>
  <si>
    <t xml:space="preserve">2 bath sheets needed, 'Fluffy' style, Dunelm, 3 years. CB3 changed lifetime to 5. </t>
  </si>
  <si>
    <t xml:space="preserve">2 face cloths needed, 'Fluffy' style, Dunelm, 3 years. CB3 changed lifetime to 5. </t>
  </si>
  <si>
    <t xml:space="preserve">From supermarket/Boots. No other info discussed. Lifetime set to 10 years for now. CB3 changed lifetime to 20 years. CB4 confirmed 20 years. </t>
  </si>
  <si>
    <t>Cb4 added bleach for bathroom.  lasting 2 weeks</t>
  </si>
  <si>
    <t xml:space="preserve">Cheapest lampshade that comes in a range of colours, Dunelm, Supermarket, 20 years. CB3 changed all lightshades to £20, lasting 10 years. CB4 said: Dunelm, £25, 10 years. </t>
  </si>
  <si>
    <t xml:space="preserve">Double bed with 4 drawers, Ikea, Bensons for bed, Dreams, independent bed shop, Dunelm, 16 years. CB4 increased lifetime to 20 years in line with Ppens. </t>
  </si>
  <si>
    <t xml:space="preserve">Double bed divan style with drawers for additional storage, good quality, JL 'everyday' range,  Dreams, Bensons for Beds, DFS, Ikea 16 years.CB4 increased lifetime to 20 years in line with Ppens. </t>
  </si>
  <si>
    <t>Double mattress, good quality approx £600, Ikea, Bensons for beds, Dreams, independent bed shop, Dunelm, 8 years</t>
  </si>
  <si>
    <t xml:space="preserve">Double wardrobe matching with drawers and bedside table, Ikea, Bensons for beds, Dreams, independent shop, Dunelm, 30 years. CB3 changed lifetime to 20 years in line with SFP. </t>
  </si>
  <si>
    <t xml:space="preserve">Chest of drawers to match wardrobe and bedside table, Ikea, Bensons for beds, Dreams, independent shop, Dunelm, 30 years. CB3 changed lifetime to 20 years in line with SFP. </t>
  </si>
  <si>
    <t>Bedside tables to match wardrobe and drawers, Ikea, Bensons for beds, Dreams, independent shop, Dunelm, 30 years. CB3 changed spec in line with SFP:  2 needed, in matching set with drawers + wardrobe, fully assembled (or include cost for handy man to build flat pack version) Argos, Dunelm, Ikea, B+Q, 20 years</t>
  </si>
  <si>
    <t xml:space="preserve">Full length mirror, cheap, Dunelm, 30 years. CB3 changed lifetime to 20 years in line with SFP. </t>
  </si>
  <si>
    <t>Cheapest that comes in a range of colours, 25 years. CB3 changed in line with SFP: Bedside lamps 2 needed, approx. £10, Dunelm, Asda, Wilko, B+Q 20 years. Cb3 changed lifetime to 10 years</t>
  </si>
  <si>
    <t xml:space="preserve">CB3 added wooden chair from Dunelm/Dreams. Mid-mid quality, lasting 20 years, </t>
  </si>
  <si>
    <t xml:space="preserve">CB3 added a spare duvet for visitors. 12 tog. Mid-mid range from Dunelm or Wilko and does not need to be a recognisable brand. Lasting 10 years.CB4 changed in line with Ppens: 10.5 Tog. 16 years as only for occasional use. </t>
  </si>
  <si>
    <t>4 needed, hotel quality, Dunelm, 8 years. CB3 changed lifetime to 4 years.</t>
  </si>
  <si>
    <t xml:space="preserve">CB3 changed in line with SFP: 3 sets needed, Mid-range quality from the supermarket, 10 years. CB3 changed lifetime to 8 years. </t>
  </si>
  <si>
    <t>8 needed in total, cheapest ok, Dunelm, Supermarket. CB3 said 12 pillowcases needed in total. Enough to cover 3 changes of bedding (with four pillows). Also ensures plenty spare for guests. 6 pillowcases already included with bedding sets, so need 6 extra. Lasting 8 years.</t>
  </si>
  <si>
    <t xml:space="preserve">2 mattress protectors needed, cheapest ok, Dunelm, Supermarket. CB3 changed lifetime to 4 years. </t>
  </si>
  <si>
    <t xml:space="preserve">Carpet needed for comfort and warmth same quality throughout, should include underlay, approx. £15 per sq/m, Carpetright, lifetime? CB3 £10 per square metre. A hard-wearing carpet would last 10 years. CB4 said 12 per m2 in line with Ppens. </t>
  </si>
  <si>
    <t xml:space="preserve">Trojan Carpet  (4 or 5 metres, 7 colours) £11.99m2, 4x3.5m = £167.86. Plus Underlay:                       Patron Carpet Underlay 6.5mm 14m2 = £181.86. Plus gripper:  14m2 = £27.86. Plus fitting: £69.86. Plus door bar = £11.99 Plus delivery = 29.99. TOTAL = £489.42                                                                                             </t>
  </si>
  <si>
    <t>Dunelm, online, B&amp;Q. Approx. £60. Plastic set okay. 5 years in line with 2018 groups.</t>
  </si>
  <si>
    <t>F: Personal goods and services</t>
  </si>
  <si>
    <t>Hairdryer</t>
  </si>
  <si>
    <t>Toilet roll</t>
  </si>
  <si>
    <t>Andrex Classic Clean Toilet Tissue 4 Rolls</t>
  </si>
  <si>
    <t>Aquafresh Fresh and Minty Toothpaste 75ml</t>
  </si>
  <si>
    <t>Colgate Extra Clean Medium Toothbrush X3 (weeks based on 3-pk)</t>
  </si>
  <si>
    <t>Mouthwash</t>
  </si>
  <si>
    <t>Listerine Spearmint Mouthwash 250Ml</t>
  </si>
  <si>
    <t>Comb</t>
  </si>
  <si>
    <t>Leo Bancroft Pocket Comb</t>
  </si>
  <si>
    <t>Palmolive Liquid Handwash Aquarium 300Ml</t>
  </si>
  <si>
    <t>Nivea Sun Protect and Moisture Sun Cream Spray SPF 50 200ml</t>
  </si>
  <si>
    <t>Tweezers</t>
  </si>
  <si>
    <t>Superdrug</t>
  </si>
  <si>
    <t>TKMaxx</t>
  </si>
  <si>
    <t>Personal effects</t>
  </si>
  <si>
    <t>Hairdressing</t>
  </si>
  <si>
    <t>Shower gel</t>
  </si>
  <si>
    <t>Xprt. For Men Stimulating Shower Gel 300Ml</t>
  </si>
  <si>
    <t>Razor</t>
  </si>
  <si>
    <t>Gillette Mach3 Razor For Men. With 2 blades</t>
  </si>
  <si>
    <t>Razor blades</t>
  </si>
  <si>
    <t xml:space="preserve">Gillette Mach 3 Blades 4S. 4 pk </t>
  </si>
  <si>
    <t>Toothpaste</t>
  </si>
  <si>
    <t>Toothbrush</t>
  </si>
  <si>
    <t>Sun cream</t>
  </si>
  <si>
    <t>Deodorant</t>
  </si>
  <si>
    <t>Right Guard Xtreme Silver Fresh Blast Antiperspirant Deodorant 150Ml</t>
  </si>
  <si>
    <t>Shampoo</t>
  </si>
  <si>
    <t>Alberto Balsam Tea Tree Tingle Shampoo 350Ml</t>
  </si>
  <si>
    <t>Liquid soap</t>
  </si>
  <si>
    <t>Shockwaves Ultra Strong Power Hold Gel 200Ml</t>
  </si>
  <si>
    <t>Wallet</t>
  </si>
  <si>
    <t>Ben Sherman Brown Leather Bifold Wallet</t>
  </si>
  <si>
    <t>Boots</t>
  </si>
  <si>
    <t>1 toilet roll per week. CB3 changed to 2 rolls per week.</t>
  </si>
  <si>
    <t>Shaving foam</t>
  </si>
  <si>
    <t>Tesco Essentials Shaving Foam 250Ml</t>
  </si>
  <si>
    <t>Personal care, male</t>
  </si>
  <si>
    <t>Mouthwash, replace monthly</t>
  </si>
  <si>
    <t>Interdental brushes</t>
  </si>
  <si>
    <t>Interdental care brushes, one per day</t>
  </si>
  <si>
    <t>Pro Care Soft Interdental Brush 30pk</t>
  </si>
  <si>
    <t>Denture tablets</t>
  </si>
  <si>
    <t>Denture tablet cleaner (presume would use one per day?). CB3 confirmed 1 used per day.</t>
  </si>
  <si>
    <t>Pro-Formula Denture Tablets 30 Pack</t>
  </si>
  <si>
    <t>Tooth mug</t>
  </si>
  <si>
    <t xml:space="preserve">Tumbler to hold dentures, lifetime? CB3 said tumbler would last 2 years. </t>
  </si>
  <si>
    <t>George Home Charcoal Bathroom Tumbler</t>
  </si>
  <si>
    <t>Talcum powder</t>
  </si>
  <si>
    <t>Replace every 3 months</t>
  </si>
  <si>
    <t>Johnsons baby Powder 200g</t>
  </si>
  <si>
    <t>Sponge</t>
  </si>
  <si>
    <t>One sponge would last 1 month</t>
  </si>
  <si>
    <t>Tesco Essentials Soft Sponges 2 Pack</t>
  </si>
  <si>
    <t>Brush</t>
  </si>
  <si>
    <t>Leo Bancroft Vented Brush Gold Label</t>
  </si>
  <si>
    <t>Cb4 added pair of tweezers, 10 years</t>
  </si>
  <si>
    <t>Manicure set</t>
  </si>
  <si>
    <t>Nail clipper set, including scissors, 20 years. CB3 changed lifetime to 10 years.</t>
  </si>
  <si>
    <t>Manicure set. Includes a slant tweezer, nail file, nail clipper, scissors and cuticle pusher for nice neat nails.</t>
  </si>
  <si>
    <t xml:space="preserve">1 bottle of approx. £20. From Superdrug/Boots. Lasting 1 year. Cb3 changed to £50 budget per year. </t>
  </si>
  <si>
    <t>Watch</t>
  </si>
  <si>
    <t>Suitcases</t>
  </si>
  <si>
    <t xml:space="preserve">1 large suitcase and 1 small suitcase on wheels. From supermarket or Argos. Cheapest okay. Lifetime not discussed. Set to 10 years for now. CB4 said 20 years </t>
  </si>
  <si>
    <t>Go Explore 2 Piece Soft 2 Wheeled Luggage Set - Blue. Two sizes: H67, W20, D43.5cm (55L) and H45.5, W16, D34cm (23L)</t>
  </si>
  <si>
    <t>Backpack</t>
  </si>
  <si>
    <t>Belts</t>
  </si>
  <si>
    <t>Marks &amp; Spencer</t>
  </si>
  <si>
    <t>£8 a month for hairdressing</t>
  </si>
  <si>
    <t xml:space="preserve">CB3 added: Hairdryer, Boots brand e.g Charles Worthington, 12 years. CB3 changed lifetime to 10 years. </t>
  </si>
  <si>
    <t>Remington Power Dry Hairdryer D3010 £14.99</t>
  </si>
  <si>
    <t>Tena pads</t>
  </si>
  <si>
    <t xml:space="preserve">CB4 added incontinence pads in line with SFP. Lifetime not discussed. 2 per day in line with SFP for now. FG3 confimed 2 per day </t>
  </si>
  <si>
    <t>Tena Men Pads 10 Pack</t>
  </si>
  <si>
    <t>Shower gel, replace monthly</t>
  </si>
  <si>
    <t>Razor with changeable blades. Handle lasts 5 years.</t>
  </si>
  <si>
    <t>1 blade per week</t>
  </si>
  <si>
    <t>Shaving foam, replace every 2 months</t>
  </si>
  <si>
    <t>1 tube of toothpaste every month</t>
  </si>
  <si>
    <t>Would replace toothbrush every 3-6 months</t>
  </si>
  <si>
    <t>Replace monthly.</t>
  </si>
  <si>
    <t>Hair gel</t>
  </si>
  <si>
    <t>Hand and body lotion</t>
  </si>
  <si>
    <t>Moisturiser for hands and body, Dove brand, 6 months</t>
  </si>
  <si>
    <t>Dove Intensive Nourishment Body Lotion 400Ml</t>
  </si>
  <si>
    <t>Sun cream, 1  needed per year.</t>
  </si>
  <si>
    <t>Comb, 20 years. CB3 changed lifetime to 10 years.</t>
  </si>
  <si>
    <t xml:space="preserve"> Mid-range hair brush. From supermarket/Superdrug/Boots. Lasting 5 years. </t>
  </si>
  <si>
    <t>Included in manicure set.</t>
  </si>
  <si>
    <t>Aftershave</t>
  </si>
  <si>
    <t>2 leather belts. 1 black, 1 brown. 10 years</t>
  </si>
  <si>
    <t>2 Pack Leather Belts (black and brown)</t>
  </si>
  <si>
    <t>CB4 added 1 leather wallet. 2 years e.g. TK Maxx</t>
  </si>
  <si>
    <t>CB4 added watch in line with SFP:  £20, lasting 10 years.</t>
  </si>
  <si>
    <t>Sekonda Men's Black Leather Strap Watch</t>
  </si>
  <si>
    <t>CB4 added rucksack. Chespest okay, 4 years</t>
  </si>
  <si>
    <t>Rockport bacpack (range of colours)</t>
  </si>
  <si>
    <t>G: Transport</t>
  </si>
  <si>
    <t>Passenger transport by road</t>
  </si>
  <si>
    <t>Taxi fares</t>
  </si>
  <si>
    <t>Rail fares</t>
  </si>
  <si>
    <t>G</t>
  </si>
  <si>
    <t xml:space="preserve">£10 per week </t>
  </si>
  <si>
    <t>Passenger transport by railway</t>
  </si>
  <si>
    <t>CB4 said £100 per year per person</t>
  </si>
  <si>
    <t>Bus Pass</t>
  </si>
  <si>
    <t>Free bus pass</t>
  </si>
  <si>
    <t>Rail card</t>
  </si>
  <si>
    <t>National Rail</t>
  </si>
  <si>
    <t>Senior Railcard. £70 for 3 years (all rail fares a third off)</t>
  </si>
  <si>
    <t>Senior Rail Card (3 years)</t>
  </si>
  <si>
    <t>H: Social and cultural participation</t>
  </si>
  <si>
    <t>H1</t>
  </si>
  <si>
    <t>Leisure goods</t>
  </si>
  <si>
    <t>TV</t>
  </si>
  <si>
    <t>Laptop</t>
  </si>
  <si>
    <t>ACER 314 Touch 14" Chromebook - MediaTek MT8183C, 128 GB eMMC, Silver</t>
  </si>
  <si>
    <t>Gifts - Xmas</t>
  </si>
  <si>
    <t xml:space="preserve">Gifts for others </t>
  </si>
  <si>
    <t>Gifts - Birthdays</t>
  </si>
  <si>
    <t>Christmas decorations</t>
  </si>
  <si>
    <t>Stationery</t>
  </si>
  <si>
    <t>Charities</t>
  </si>
  <si>
    <t>Donations</t>
  </si>
  <si>
    <t>JVC LT-43CA790 Android TV 43" Smart Full HD LED TV with Google Assistant</t>
  </si>
  <si>
    <t>Smart speaker</t>
  </si>
  <si>
    <t>Amazon Echo Dot Smart Speaker with Alexa - Black</t>
  </si>
  <si>
    <t>Gifts - Other</t>
  </si>
  <si>
    <t>Other recreational items</t>
  </si>
  <si>
    <t>Newspapers, books and stationery</t>
  </si>
  <si>
    <t>CB4 added radio, £25. No lifetime discussed. Also mentioned smart speaker as alternative.FG3 confirmed smart speaker for additional functionality and a source of company. 10 years</t>
  </si>
  <si>
    <t>Approx. 14" (A4 size) laptop. Currys, 5 years</t>
  </si>
  <si>
    <t>CB4 added in line with SFP: £50 per person per year for flowers/card/gifts for other occasions. E.g. sympathy card, wedding, get well soon card, new baby.</t>
  </si>
  <si>
    <t xml:space="preserve">CB4 added in line with SFP: £50 per person per year for charitable donations. </t>
  </si>
  <si>
    <t>£50 for an artificial 4ft Xmas tree and decorations (baubles, lights etc.), replaced every 20 years. CB4 reduced lifetime to 10 years</t>
  </si>
  <si>
    <t>TV licence</t>
  </si>
  <si>
    <t>BBC</t>
  </si>
  <si>
    <t>costs £159/year. If paying monthly you have to pay first year within six months and then can move to monthly payments for subsequent years</t>
  </si>
  <si>
    <t>H3</t>
  </si>
  <si>
    <t>Internet</t>
  </si>
  <si>
    <t xml:space="preserve">Included with line rental (see Household Services): Via Moneysupermarket. TalkTalk up to 67Mb avg speed, unlimited downloads, 18 month contract, no setup cost. £282 total cost per year (also offers £75 cashback voucher Tesco/Amazon/M&amp;S after 90 days). </t>
  </si>
  <si>
    <t>Entertainment and recreation</t>
  </si>
  <si>
    <t>TV subscription</t>
  </si>
  <si>
    <t>Netflix</t>
  </si>
  <si>
    <t>£6.99 per month for basic Netflix account. Includes Netflix for 1 screen at a time and downloads for one phone or tablet device. Unlimited films, TV programmes and mobile games.</t>
  </si>
  <si>
    <t>Activities</t>
  </si>
  <si>
    <t>H6</t>
  </si>
  <si>
    <t>UK Holidays</t>
  </si>
  <si>
    <t>Holiday- spending money</t>
  </si>
  <si>
    <t>Leisure services</t>
  </si>
  <si>
    <t>Passport</t>
  </si>
  <si>
    <t>Passport needed for identification purposes.</t>
  </si>
  <si>
    <t>Holiday</t>
  </si>
  <si>
    <t>Alfa Travel</t>
  </si>
  <si>
    <t xml:space="preserve">1-week caravan holiday by the sea (UK). Share cost with a friend. Off-peak. Approx. £500. Or 1-week coach trip in the UK. </t>
  </si>
  <si>
    <t>Alfa Travel 7 day trip - The Isle of Wight - The Shanklin Hotel, half board £406 plus £40  single person supplment (=£446) departing Leicester 19th May 2022</t>
  </si>
  <si>
    <t xml:space="preserve">Costed as paper application from the post office </t>
  </si>
  <si>
    <t>Photographs</t>
  </si>
  <si>
    <t>photo booth £6 (costed at Max Spielmann at Tesco)</t>
  </si>
  <si>
    <t xml:space="preserve">broadband internet needed for shopping online, checking price comparison websites and checking timetables etc. </t>
  </si>
  <si>
    <t>£10 for two activities per week, e.g. meeting friends for coffee, pub, cinema, swimming, gym, walking, visiting musems, visiting the library, days out. CB3 changed to £20 per week, in line with SFP.</t>
  </si>
  <si>
    <t>£10 per day spending money for the one week coach trip. CB4 increased budget to £100  in addtion to weekly food budget</t>
  </si>
  <si>
    <t>Tesco Max Spielmann Photo</t>
  </si>
  <si>
    <t>For passport.</t>
  </si>
  <si>
    <t>Simple Value Corded Desk Telephone - Single</t>
  </si>
  <si>
    <t>Cheapest plug in phone for use in emergencies, would last 10 years. Supermarket/Argos/Currys</t>
  </si>
  <si>
    <t>Landline telephone</t>
  </si>
  <si>
    <t>Basic contract with 500MB of data, inclusive minutes and texts, TG4 decided that increasing data to 1GB would be 'a safety net'</t>
  </si>
  <si>
    <t>Entry level handset- smartphone with basic contract package. Price of handset included in contract and can be upgraded/replaced every 2 years at no additional cost.</t>
  </si>
  <si>
    <t>Based on 2 books of 12 second class stamps per year (65p per stamp) plus £1 per week for delivery charges. CB4 changed to postage budget: £10 per month per household as budget to cover all postage needs.</t>
  </si>
  <si>
    <t>Opticians- check up</t>
  </si>
  <si>
    <t xml:space="preserve">Eye test every 2 years. </t>
  </si>
  <si>
    <t xml:space="preserve">Free NHS eye tests for people aged 60 and over. </t>
  </si>
  <si>
    <t>Entry-level varifocal glasses every 2 years. CB4 changed in line with Ppens: £200 for varifocal glasses every 2 years</t>
  </si>
  <si>
    <t>Specsavers - varifocals start from £39 (if selecting frames £69-£169 plus varifocal lenses from £49 then get second pair for free so total £118). A budget of £200 would give the Ppens more choice.</t>
  </si>
  <si>
    <t>Two check ups per year with NHS dentist</t>
  </si>
  <si>
    <t>Band 3 (£282.80). includes bridges, crowns, dentures, inlays/onlays, non-cosmetic veneers.</t>
  </si>
  <si>
    <t>Podiatry</t>
  </si>
  <si>
    <t>Cough mixture</t>
  </si>
  <si>
    <t xml:space="preserve">1 bottle replaced yearly. </t>
  </si>
  <si>
    <t>Tesco Health+ Chesty Cough Relief 300Ml</t>
  </si>
  <si>
    <t>1 box a year.</t>
  </si>
  <si>
    <t>Eye wash</t>
  </si>
  <si>
    <t>Optrex eye wash to bathe eyes, 6 months</t>
  </si>
  <si>
    <t>Optrex Multi Action Eye Wash 100Ml</t>
  </si>
  <si>
    <t>Eye drops</t>
  </si>
  <si>
    <t xml:space="preserve">Optrex eye drops for dry eyes. Replaced monthly. </t>
  </si>
  <si>
    <t>Optrex Refreshing Eye Drops 10ml</t>
  </si>
  <si>
    <t>Savlon, replace yearly.</t>
  </si>
  <si>
    <t xml:space="preserve">Replaced every 2 years. From Boots/Wilko. CB3 changed lifetime to 5 years. </t>
  </si>
  <si>
    <t>Thermometer</t>
  </si>
  <si>
    <t>Digital thermometer. From Boots/Wilko/supermarket/Superdrug. Lasting 10 years.</t>
  </si>
  <si>
    <t>Superdrug Flexi Tip Digital Thermometer</t>
  </si>
  <si>
    <t>Band 3 treatment, such as dentures, every 5 years.</t>
  </si>
  <si>
    <t xml:space="preserve">£25 every 2 months. CB4 changed to £30 every 2 months </t>
  </si>
  <si>
    <t>One pack every 3 months. Fg3 changed to 1 pack, 8 weeks</t>
  </si>
  <si>
    <t>First aid kit - replace every year. CB3 changed lifetime to 2 years.</t>
  </si>
  <si>
    <t>A1</t>
  </si>
  <si>
    <t>200g</t>
  </si>
  <si>
    <t>Tesco Gold Instant Coffee 200G</t>
  </si>
  <si>
    <t>Milk, semi skimmed</t>
  </si>
  <si>
    <t>1.5l</t>
  </si>
  <si>
    <t>1l</t>
  </si>
  <si>
    <t>Wholemeal bread roll</t>
  </si>
  <si>
    <t>Other high fibre breakfast cereals</t>
  </si>
  <si>
    <t>Weetabix</t>
  </si>
  <si>
    <t>Weetabix Cereal 12 Pack</t>
  </si>
  <si>
    <t>Tesco Wholemeal Medium Bread 800g, Freeze remainder 18 slices plus crusts</t>
  </si>
  <si>
    <t>270g</t>
  </si>
  <si>
    <t>Tesco Original Scottish Oats 270G</t>
  </si>
  <si>
    <t>Creamfields</t>
  </si>
  <si>
    <t>6 large eggs</t>
  </si>
  <si>
    <t>220g</t>
  </si>
  <si>
    <t>Olive oil</t>
  </si>
  <si>
    <t>Tesco Olive Oil 1L</t>
  </si>
  <si>
    <t>500g</t>
  </si>
  <si>
    <t>454g</t>
  </si>
  <si>
    <t>Jaffa</t>
  </si>
  <si>
    <t>600g</t>
  </si>
  <si>
    <t>Pears Conference Class 1 Loose 2.70/kg/51p each</t>
  </si>
  <si>
    <t>Granny Smith Apples Class 1 Loose, £2.70/kg/43p each</t>
  </si>
  <si>
    <t>180g</t>
  </si>
  <si>
    <t>300g</t>
  </si>
  <si>
    <t>Tesco 2 British Chicken Breast Fillets 300G</t>
  </si>
  <si>
    <t>1kg</t>
  </si>
  <si>
    <t>105g</t>
  </si>
  <si>
    <t>147 g</t>
  </si>
  <si>
    <t>Tesco 2 Pork Loin Chops 450G, freeze other for next week</t>
  </si>
  <si>
    <t>Tesco 50% Reduced Fat Mature Cheese 220G</t>
  </si>
  <si>
    <t>Loose Red Onions Class 2 £1/kg</t>
  </si>
  <si>
    <t>250g</t>
  </si>
  <si>
    <t>Tesco Celery Sticks 250G 50p Clubcard Price, 75p standard price</t>
  </si>
  <si>
    <t>700g</t>
  </si>
  <si>
    <t>Tesco Cucumber Whole Each</t>
  </si>
  <si>
    <t>100g</t>
  </si>
  <si>
    <t>900g</t>
  </si>
  <si>
    <t>60 g</t>
  </si>
  <si>
    <t>Tesco Fine Whole Green Beans 900G</t>
  </si>
  <si>
    <t>Peas, frozen</t>
  </si>
  <si>
    <t>80 g</t>
  </si>
  <si>
    <t>Broccoli, frozen</t>
  </si>
  <si>
    <t>70 g</t>
  </si>
  <si>
    <t>Tesco Cauliflower Florets 900G (frozen)</t>
  </si>
  <si>
    <t>Sweetcorn, frozen</t>
  </si>
  <si>
    <t>Tesco Supersweet Sweetcorn 1Kg</t>
  </si>
  <si>
    <t>Tesco Penne Pasta Quills 500G</t>
  </si>
  <si>
    <t>450ml</t>
  </si>
  <si>
    <t>99 g</t>
  </si>
  <si>
    <t>Tesco Light Mayonnaise 450Ml</t>
  </si>
  <si>
    <t>400g</t>
  </si>
  <si>
    <t>Tesco Easy Cook Long Grain Rice 1Kg</t>
  </si>
  <si>
    <t>350g</t>
  </si>
  <si>
    <t>450g</t>
  </si>
  <si>
    <t>Food delivery</t>
  </si>
  <si>
    <t>£35 per year for food delivery</t>
  </si>
  <si>
    <t>Xmas food &amp; drink</t>
  </si>
  <si>
    <t>£50 per household</t>
  </si>
  <si>
    <t>A2</t>
  </si>
  <si>
    <t>Eating out</t>
  </si>
  <si>
    <t>£25 per person per month for 2 course meal and a drink</t>
  </si>
  <si>
    <t>Takeaway</t>
  </si>
  <si>
    <t>£15 per person per fortnight for singles</t>
  </si>
  <si>
    <t>Tea</t>
  </si>
  <si>
    <t>14 tea bags (plus 7 for visitors)</t>
  </si>
  <si>
    <t>Tesco 80 Teabags 250g</t>
  </si>
  <si>
    <t>Coffee</t>
  </si>
  <si>
    <t>2pt</t>
  </si>
  <si>
    <t>1484 ml 2 pints + 1 pint 1704ml</t>
  </si>
  <si>
    <t>Tesco Semi Skimmed Milk 2pt (1.13l) £0.95</t>
  </si>
  <si>
    <t>1pt</t>
  </si>
  <si>
    <t>Tesco Semi Skimmed Milk 568Ml/1 Pint £0.60</t>
  </si>
  <si>
    <t>Squash</t>
  </si>
  <si>
    <t>1155 ml</t>
  </si>
  <si>
    <t>Tesco Quad Strength Orange Squash No Added Sugar 1.5L</t>
  </si>
  <si>
    <t>4 x 20 g weetabix (80 g)</t>
  </si>
  <si>
    <t>16 slices (592 g)</t>
  </si>
  <si>
    <t>Margarine, light, reduced fat</t>
  </si>
  <si>
    <t>Flora</t>
  </si>
  <si>
    <t>172 g</t>
  </si>
  <si>
    <t>Flora Lighter Spread 500G £1.50 Clubcard Price, £2.20 standard price</t>
  </si>
  <si>
    <t>Jam, fruit with seeds</t>
  </si>
  <si>
    <t>Tesco Strawberry Jam 454G, lifetime adjusted in line with guidance to consume within 6 weeks</t>
  </si>
  <si>
    <t>Yoghurt, low fat, fruit</t>
  </si>
  <si>
    <t>4 x 125 g pots</t>
  </si>
  <si>
    <t>Creamfields Berry Medley Low Fat Yogurt 6x125g</t>
  </si>
  <si>
    <t>Eggs, large</t>
  </si>
  <si>
    <t>Tesco Large Free Range Eggs 6 Pack</t>
  </si>
  <si>
    <t>Eggs, medium</t>
  </si>
  <si>
    <t>4 medium eggs</t>
  </si>
  <si>
    <t>Tesco Medium Free Range Eggs 6 Pack</t>
  </si>
  <si>
    <t>Porridge oats, uncooked weight</t>
  </si>
  <si>
    <t>54 g</t>
  </si>
  <si>
    <t>Sausages, pork</t>
  </si>
  <si>
    <t>1 thick sausgae 57 g</t>
  </si>
  <si>
    <t>Tesco 20 Pork Sausages 900g (frozen)</t>
  </si>
  <si>
    <t>Baked beans</t>
  </si>
  <si>
    <t>349 g</t>
  </si>
  <si>
    <t>Tesco Baked Beans In Tomato Sauce 420g (Any 4 for £1.20 Clubcard Price - full price 35p per tin)</t>
  </si>
  <si>
    <t>Bacon, back</t>
  </si>
  <si>
    <t>1 rasher, 30 g</t>
  </si>
  <si>
    <t>Black pudding</t>
  </si>
  <si>
    <t>The Bury Black Pudding Company</t>
  </si>
  <si>
    <t>230g</t>
  </si>
  <si>
    <t>The Bury Black Pudding 4 Slices 230G, freeze remainder</t>
  </si>
  <si>
    <t>Tomatoes, large, whole weight</t>
  </si>
  <si>
    <t>130g</t>
  </si>
  <si>
    <t xml:space="preserve">130 g </t>
  </si>
  <si>
    <t>Beef Tomatoes Each</t>
  </si>
  <si>
    <t>90 ml</t>
  </si>
  <si>
    <t>Raisins</t>
  </si>
  <si>
    <t>35 g</t>
  </si>
  <si>
    <t>Tesco Seedless Raisins 500G</t>
  </si>
  <si>
    <t>Satsumas, weight with peel</t>
  </si>
  <si>
    <t>4 x 80 g medium (340 g)</t>
  </si>
  <si>
    <t>Bananas, weight with peel</t>
  </si>
  <si>
    <t>3 bananas (474 g)</t>
  </si>
  <si>
    <t>Banana loose 14p each</t>
  </si>
  <si>
    <t>Grapefruit, weight with skin</t>
  </si>
  <si>
    <t>1 grapefruit (340 g)</t>
  </si>
  <si>
    <t>Red Grapefruit Each</t>
  </si>
  <si>
    <t>Strawberries, raw weight</t>
  </si>
  <si>
    <t>Rosedene</t>
  </si>
  <si>
    <t>250 g</t>
  </si>
  <si>
    <t>Tesco Strawberries 400G</t>
  </si>
  <si>
    <t>Apple</t>
  </si>
  <si>
    <t>3 medium (522 g)</t>
  </si>
  <si>
    <t>Grapes</t>
  </si>
  <si>
    <t>420 g</t>
  </si>
  <si>
    <t>Tesco Green Seedless Grapes Punnet 500G</t>
  </si>
  <si>
    <t>Pears</t>
  </si>
  <si>
    <t>1 x 160 g pear</t>
  </si>
  <si>
    <t>Crackers, oatcake crackers eg Nairns</t>
  </si>
  <si>
    <t>4 x 10 g crackers (40 g)</t>
  </si>
  <si>
    <t>Tesco Scottish Rough Oatcakes 250G</t>
  </si>
  <si>
    <t>Oat biscuits</t>
  </si>
  <si>
    <t>6 biscuits (91 g) plus 10 for visitors</t>
  </si>
  <si>
    <t>Tesco Oaty Rounds Biscuits 300G (20 biscuits)</t>
  </si>
  <si>
    <t>Digestive biscuits</t>
  </si>
  <si>
    <t>4 x 14 g biscuits (56 g)</t>
  </si>
  <si>
    <t>Tesco Digestive Biscuits 400G (28 biscuits)</t>
  </si>
  <si>
    <t>Crisps</t>
  </si>
  <si>
    <t xml:space="preserve">3 x 25 g packets </t>
  </si>
  <si>
    <t>Tesco Ready Salted Crisps 6X25g</t>
  </si>
  <si>
    <t>Mixed nuts and fruit</t>
  </si>
  <si>
    <t>2 x 50 g handfuls (100g)</t>
  </si>
  <si>
    <t>Tesco Unsalted Mixed Nuts &amp; Raisins 500G</t>
  </si>
  <si>
    <t>Lemonade, light no sugar</t>
  </si>
  <si>
    <t>2 x 330 ml</t>
  </si>
  <si>
    <t>Tesco Diet Lemonade 4X330ml</t>
  </si>
  <si>
    <t>Ham</t>
  </si>
  <si>
    <t>2 x 30 g thick slices (60 g)</t>
  </si>
  <si>
    <t>Tesco Cooked Ham 4 Slices 100G</t>
  </si>
  <si>
    <t>Cheese, reduced fat 50%</t>
  </si>
  <si>
    <t>128 g</t>
  </si>
  <si>
    <t>Tuna fish, tinned, in spring water</t>
  </si>
  <si>
    <t>240g (168g)</t>
  </si>
  <si>
    <t>1 x 180 g std tin</t>
  </si>
  <si>
    <t>Tesco Tuna Chunks In Spring Water 3X80g (drained weight 168g)</t>
  </si>
  <si>
    <t>Salmon, tinned, in brine</t>
  </si>
  <si>
    <t>1 x 105 g can</t>
  </si>
  <si>
    <t>Tesco Wild Pacific Pink Salmon 105G</t>
  </si>
  <si>
    <t>Seeded Brown roll (1 out of pack of 4)</t>
  </si>
  <si>
    <t>1 x 50 g roll</t>
  </si>
  <si>
    <t>Tesco Wholemeal Oat Topped Deli Rolls 4 Pack, freeze remainder</t>
  </si>
  <si>
    <t>1 x 80 g roll</t>
  </si>
  <si>
    <t>Tesco Large Wholemeal Baps 4 Pack, freeze remainder</t>
  </si>
  <si>
    <t>Mayonnaise, light, reduced fat</t>
  </si>
  <si>
    <t>Mixed Lettuce leaves</t>
  </si>
  <si>
    <t>120g</t>
  </si>
  <si>
    <t>96 g</t>
  </si>
  <si>
    <t>Tesco Mixed Leaf Salad 120G</t>
  </si>
  <si>
    <t>Tomato, small</t>
  </si>
  <si>
    <t>4 x 85 g std tomatoes (340 g)</t>
  </si>
  <si>
    <t>Tesco Salad Tomatoes £2.08/kg 14p each</t>
  </si>
  <si>
    <t>Cucumber</t>
  </si>
  <si>
    <t>1/4 cucumber (173 g)</t>
  </si>
  <si>
    <t>Red Peppers</t>
  </si>
  <si>
    <t>1 x 190 g red pepper</t>
  </si>
  <si>
    <t>Red pepper each class 1</t>
  </si>
  <si>
    <t>Green peppers</t>
  </si>
  <si>
    <t>1 x 190 g green pepper</t>
  </si>
  <si>
    <t>Green pepper each class 1</t>
  </si>
  <si>
    <t>Red onions</t>
  </si>
  <si>
    <t>1 small onion (66 g)</t>
  </si>
  <si>
    <t>Spring onions</t>
  </si>
  <si>
    <t>19 g</t>
  </si>
  <si>
    <t>Tesco Bunched Spring Onions 100G, lifetime adjusted to 1.5 weeks</t>
  </si>
  <si>
    <t>Avocado, whole weight</t>
  </si>
  <si>
    <t>1 fresh 200 g</t>
  </si>
  <si>
    <t>Ripe &amp; Ready Avocado</t>
  </si>
  <si>
    <t>French beans</t>
  </si>
  <si>
    <t>140 g</t>
  </si>
  <si>
    <t>Potatoes, old</t>
  </si>
  <si>
    <t>1.25kg</t>
  </si>
  <si>
    <t>480 g</t>
  </si>
  <si>
    <t>Tesco Red Potatoes 1.25Kg</t>
  </si>
  <si>
    <t>New potatoes</t>
  </si>
  <si>
    <t>210 g</t>
  </si>
  <si>
    <t>Tesco Baby Potatoes 1 Kilograms</t>
  </si>
  <si>
    <t>Cauliflower</t>
  </si>
  <si>
    <t>165 g</t>
  </si>
  <si>
    <t>145 g</t>
  </si>
  <si>
    <t>Tesco Broccoli &amp; Cauliflower Floret Mix 900G (frozen)</t>
  </si>
  <si>
    <t>200 g</t>
  </si>
  <si>
    <t>Tesco Garden Peas 1Kg</t>
  </si>
  <si>
    <t>Carrots</t>
  </si>
  <si>
    <t>610g</t>
  </si>
  <si>
    <t>610 g</t>
  </si>
  <si>
    <t>Tesco Carrots Loose 40p/kg</t>
  </si>
  <si>
    <t>Onions</t>
  </si>
  <si>
    <t>165g</t>
  </si>
  <si>
    <t>1 medium 165 g</t>
  </si>
  <si>
    <t>Loose Brown Onions, 85p/kg</t>
  </si>
  <si>
    <t>Celery</t>
  </si>
  <si>
    <t>33 g</t>
  </si>
  <si>
    <t>Large Baking Potato</t>
  </si>
  <si>
    <t>404g</t>
  </si>
  <si>
    <t xml:space="preserve">1 x large 404 g </t>
  </si>
  <si>
    <t>Potatoes Baking Loose 83p/kg</t>
  </si>
  <si>
    <t>Spinach, frozen</t>
  </si>
  <si>
    <t>Tesco Leaf Spinach 900G</t>
  </si>
  <si>
    <t>Mange tout</t>
  </si>
  <si>
    <t>160g</t>
  </si>
  <si>
    <t>1 packet (150 g)</t>
  </si>
  <si>
    <t>Tesco Mangetout 160G</t>
  </si>
  <si>
    <t>Angel cake slices (pack of 6)</t>
  </si>
  <si>
    <t>Mr Kiping</t>
  </si>
  <si>
    <t>1 slice (33 g)</t>
  </si>
  <si>
    <t>Mr Kipling Angel Slice 6 Pack, 2 week lifetime spares for visitors</t>
  </si>
  <si>
    <t>Peaches, tinned</t>
  </si>
  <si>
    <t>Nature's Finest</t>
  </si>
  <si>
    <t>Nature's Finest Peach In Juice 700G</t>
  </si>
  <si>
    <t>Gravy Granules</t>
  </si>
  <si>
    <t>1 hp tsp (10 g)</t>
  </si>
  <si>
    <t>Tesco Chicken Gravy Granules 200g</t>
  </si>
  <si>
    <t>Cornflour</t>
  </si>
  <si>
    <t>5 g</t>
  </si>
  <si>
    <t>Tesco Cornflour 500G, lifetime adjusted to 8 months</t>
  </si>
  <si>
    <t>Vanilla Essence</t>
  </si>
  <si>
    <t>Ms Molly</t>
  </si>
  <si>
    <t>38ml</t>
  </si>
  <si>
    <t>2 tsp 10 g</t>
  </si>
  <si>
    <t>Ms Mollys Vanilla Essence 38ml</t>
  </si>
  <si>
    <t>Sugar</t>
  </si>
  <si>
    <t>Silver Spoon</t>
  </si>
  <si>
    <t>Granulated Sugar 1Kg, lifetime adjusted to 1 year</t>
  </si>
  <si>
    <t>Curry sauce, from jar</t>
  </si>
  <si>
    <t>Pataks</t>
  </si>
  <si>
    <t>1/2 jar 220 g</t>
  </si>
  <si>
    <t>Pataks Medium Balti Cooking Sauce 450G</t>
  </si>
  <si>
    <t>Tomato Pasta sauce, from jar</t>
  </si>
  <si>
    <t>1/2 jar, 160 g</t>
  </si>
  <si>
    <t>Tesco Chunky Vegetable Pasta Sauce 500G</t>
  </si>
  <si>
    <t>Pork Chop, lean and fat, weighed with bone</t>
  </si>
  <si>
    <t>Chicken Breast, no skin</t>
  </si>
  <si>
    <t>2 x 156 g medium breasts (312 g)</t>
  </si>
  <si>
    <t>Mackerel, weight with skin</t>
  </si>
  <si>
    <t>254 g</t>
  </si>
  <si>
    <t>Tesco Mackerel Fillets In Brine 125G</t>
  </si>
  <si>
    <t>Breaded Haddock</t>
  </si>
  <si>
    <t>1 pack of 2 x 142 g pieces (2 separate meals)</t>
  </si>
  <si>
    <t>Tesco 2 Breaded Chunky Haddock Fillets 350G</t>
  </si>
  <si>
    <t>White rice, long grain, raw weight</t>
  </si>
  <si>
    <t>118 g</t>
  </si>
  <si>
    <t>Penne pasta, dried</t>
  </si>
  <si>
    <t>87 g</t>
  </si>
  <si>
    <t>Chips, oven bake, frozen</t>
  </si>
  <si>
    <t>950g</t>
  </si>
  <si>
    <t>135 g</t>
  </si>
  <si>
    <t>Tesco Homestyle Straight Cut Oven Chips 950G</t>
  </si>
  <si>
    <t>Ice cream, dairy, vanilla</t>
  </si>
  <si>
    <t>900ml</t>
  </si>
  <si>
    <t>75 g</t>
  </si>
  <si>
    <t>Tesco Vanilla Ice Cream 900ml</t>
  </si>
  <si>
    <t>Soup, vegetable, canned</t>
  </si>
  <si>
    <t>Heinz</t>
  </si>
  <si>
    <t>405 g</t>
  </si>
  <si>
    <t>Heinz Vegetable Soup 400G, 8 for £5 Clubcard Price, 95p per can standard price</t>
  </si>
  <si>
    <t>£25 per person per month less cost of beer drinking out (1 pint per person) £1, less cost of equivalent meal eaten in: chicken breast £1.03,  rice 8p, carrots 5p, peas 5p, sweetcorn 12p + angel cake 55p = £1.88, 25 - 1 - 1.88 = £22.12</t>
  </si>
  <si>
    <t>£15 per person per fortnight less cost of equivalent meal eaten in: breaded haddock £1.90, chips 20p, peas 5p, carrots 5p + broccoli 7p = £2.27, 15 - 2.27 = 12.73</t>
  </si>
  <si>
    <t xml:space="preserve">B: Alcohol </t>
  </si>
  <si>
    <t>B1A</t>
  </si>
  <si>
    <t>B1B</t>
  </si>
  <si>
    <t>Greene King (Heathley Park - Pub &amp; Grill)</t>
  </si>
  <si>
    <t>Beer</t>
  </si>
  <si>
    <t>Fullers London Pride</t>
  </si>
  <si>
    <t>£6 for 4x500ml bottles minus 568ml (1 pint per month with meal) minus 132ml (568/4.3 = 132, equivalent to 6.6% 40p) £6-40p = £5.60</t>
  </si>
  <si>
    <t>Fullers London Pride 500Ml ABV 4.7% any 4 for £6 Clubcard price, £1.70 each standard price</t>
  </si>
  <si>
    <t>1 pint of beer/bitter priced in pub/restaurant with meal out once a month</t>
  </si>
  <si>
    <t>1 pint of lager £4.34 (ABBOT ALE (ABV 5%) priced at Greene King pub</t>
  </si>
  <si>
    <t xml:space="preserve">Cheapest recognised brand 32" TV from Argos, 5 years. CB3 changed lifetime to 10 years. CB4 increased in line with PPens: 43" smart TV due to the potential of worsening eye sight. </t>
  </si>
  <si>
    <t xml:space="preserve">Based on approx one £10 present for 10 people per year to include card and wrap. CB4 changed in line with PPens: 12 gifts of £20, plus £20 for all gift wrap and cards. </t>
  </si>
  <si>
    <t xml:space="preserve">Based on approx one £10 present for 10 people per year to include card and wrap. CB4 changed in line with PPens: Based on 12 presents at £20, including cards and gift wrap. </t>
  </si>
  <si>
    <t xml:space="preserve">£79 to cover annual fee for Amazon Prime Video. Or Netflix is £72 per year. CB4 confirmed Netflix version okay in line with PPens. </t>
  </si>
  <si>
    <t>Food</t>
  </si>
  <si>
    <t>Alcohol</t>
  </si>
  <si>
    <t>Tobacco</t>
  </si>
  <si>
    <t>Clothing</t>
  </si>
  <si>
    <t>Household insurances</t>
  </si>
  <si>
    <t>Other housing costs</t>
  </si>
  <si>
    <t>Household goods</t>
  </si>
  <si>
    <t>Household services</t>
  </si>
  <si>
    <t>Childcare</t>
  </si>
  <si>
    <t>Personal goods and services</t>
  </si>
  <si>
    <t>Motoring</t>
  </si>
  <si>
    <t>Other travel costs</t>
  </si>
  <si>
    <t>Tesco Unsmoked Thick Cut Back Bacon Rasher 300G (avg 8 rashers per pack), freeze once opened</t>
  </si>
  <si>
    <t>Jaffa Sweet Easy Peeler 600G (avg pack size 7)</t>
  </si>
  <si>
    <t>set of 6 cork-backed coasters. Lasting 5 years</t>
  </si>
  <si>
    <t>Paper napkins. CB3 said 100 lasting 1 year.</t>
  </si>
  <si>
    <t>Included in set above</t>
  </si>
  <si>
    <t>CB4 added descaler solution in line with PPens, 6 months (18 months for 30pack)</t>
  </si>
  <si>
    <t>CB4 added clingfilm. 30m lasting 6 months.</t>
  </si>
  <si>
    <t>Very</t>
  </si>
  <si>
    <t>Sheer Elegance White Slot Top Single Voile Panel. W 150cm x D 228cm. 2 priced to fit width of window.</t>
  </si>
  <si>
    <t>CB3 added in line with SFP:  Pack of 3. Lasting 30 years. CB4 changed lifetime to 15 years.</t>
  </si>
  <si>
    <t xml:space="preserve">2 bath towels needed, 'Fluffy' style, Dunelm, 5 years. </t>
  </si>
  <si>
    <t>Bathmat for outside the bath, 5 years</t>
  </si>
  <si>
    <t>Motorola Moto E20. 32GB device memory. Warranty 24 months. 24-month contract. Handset included in cost of contract below</t>
  </si>
  <si>
    <t>Liquid hand soap, replace every 3 months. CB3 said 1 for kitchen and 1 for bathroom; and changed lifetime to 1 month</t>
  </si>
  <si>
    <t>Includes £150 rebate</t>
  </si>
  <si>
    <t>Bread, wholemeal, Best of Both</t>
  </si>
  <si>
    <t>MIS 2022 Rebase</t>
  </si>
  <si>
    <t>A: Food and non-alcoholic beverages</t>
  </si>
  <si>
    <t>Single male pensioner</t>
  </si>
  <si>
    <t>Budget for stationery: £15 per year per household</t>
  </si>
  <si>
    <t>A food and non-alcoholic beverages</t>
  </si>
  <si>
    <t>A1 food</t>
  </si>
  <si>
    <t>A2 catering</t>
  </si>
  <si>
    <t>B alcohol and tobacco</t>
  </si>
  <si>
    <t>B1 alcohol</t>
  </si>
  <si>
    <t>B1A alcohol at home</t>
  </si>
  <si>
    <t>B1B alcohol away from home</t>
  </si>
  <si>
    <t>B2 tobacco and narcotics</t>
  </si>
  <si>
    <t>C clothing and footwear</t>
  </si>
  <si>
    <t>D housing costs</t>
  </si>
  <si>
    <t>D1 rent</t>
  </si>
  <si>
    <t>D2 mortgage interest</t>
  </si>
  <si>
    <t>D3 water</t>
  </si>
  <si>
    <t>D4 Council tax</t>
  </si>
  <si>
    <t>Social and cultural participation</t>
  </si>
  <si>
    <t>D5 household insurances</t>
  </si>
  <si>
    <t>Total</t>
  </si>
  <si>
    <t>D6 fuel</t>
  </si>
  <si>
    <t>Rent/mortgage interest</t>
  </si>
  <si>
    <t>D7 other housing costs</t>
  </si>
  <si>
    <t>E household goods and services</t>
  </si>
  <si>
    <t>E1 household goods</t>
  </si>
  <si>
    <t>E2 household services</t>
  </si>
  <si>
    <t>E2A communication</t>
  </si>
  <si>
    <t>E2A1 postage</t>
  </si>
  <si>
    <t>E2A2 telephone</t>
  </si>
  <si>
    <t>E2B childcare</t>
  </si>
  <si>
    <t>E2C other household services</t>
  </si>
  <si>
    <t>F personal goods and services (inc health)</t>
  </si>
  <si>
    <t>G transport</t>
  </si>
  <si>
    <t>G1 motoring expenditure</t>
  </si>
  <si>
    <t>G2 Fares and other travel costs</t>
  </si>
  <si>
    <t>H social and cultural participation</t>
  </si>
  <si>
    <t>H1 leisure goods</t>
  </si>
  <si>
    <t>H2 pets</t>
  </si>
  <si>
    <t>H3 entertainment and recreation</t>
  </si>
  <si>
    <t>H4 TV licence and rental</t>
  </si>
  <si>
    <t>H5 foreign holidays</t>
  </si>
  <si>
    <t>H6 UK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</si>
</sst>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164" formatCode="&quot;£&quot;#,##0.00"/>
    <numFmt numFmtId="165" formatCode="0.00000"/>
    <numFmt numFmtId="166" formatCode="0.0"/>
  </numFmts>
  <fonts count="27" x14ac:knownFonts="1">
    <font>
      <sz val="11"/>
      <color theme="1"/>
      <name val="Calibri"/>
      <family val="2"/>
      <scheme val="minor"/>
    </font>
    <font>
      <b/>
      <sz val="8"/>
      <name val="Arial"/>
      <family val="2"/>
    </font>
    <font>
      <sz val="8"/>
      <name val="Arial"/>
      <family val="2"/>
    </font>
    <font>
      <sz val="8"/>
      <color theme="1"/>
      <name val="Arial"/>
      <family val="2"/>
    </font>
    <font>
      <sz val="10"/>
      <name val="Arial"/>
      <family val="2"/>
    </font>
    <font>
      <sz val="8"/>
      <color theme="0" tint="-0.34998626667073579"/>
      <name val="Arial"/>
      <family val="2"/>
    </font>
    <font>
      <sz val="8"/>
      <color rgb="FF000000"/>
      <name val="Arial"/>
      <family val="2"/>
    </font>
    <font>
      <sz val="8"/>
      <color rgb="FF1A1A1A"/>
      <name val="Arial"/>
      <family val="2"/>
    </font>
    <font>
      <b/>
      <sz val="8"/>
      <color theme="1"/>
      <name val="Arial"/>
      <family val="2"/>
    </font>
    <font>
      <sz val="10"/>
      <name val="Arial"/>
      <family val="2"/>
    </font>
    <font>
      <sz val="10"/>
      <color theme="1"/>
      <name val="Arial"/>
      <family val="2"/>
    </font>
    <font>
      <sz val="8"/>
      <color rgb="FF262626"/>
      <name val="Arial"/>
      <family val="2"/>
    </font>
    <font>
      <u/>
      <sz val="11"/>
      <color theme="10"/>
      <name val="Calibri"/>
      <family val="2"/>
      <scheme val="minor"/>
    </font>
    <font>
      <sz val="8"/>
      <color rgb="FF191919"/>
      <name val="Arial"/>
      <family val="2"/>
    </font>
    <font>
      <u/>
      <sz val="10"/>
      <color theme="10"/>
      <name val="Arial"/>
      <family val="2"/>
    </font>
    <font>
      <b/>
      <sz val="11"/>
      <color theme="1"/>
      <name val="Calibri"/>
      <family val="2"/>
      <scheme val="minor"/>
    </font>
    <font>
      <sz val="8"/>
      <color indexed="58"/>
      <name val="Arial"/>
      <family val="2"/>
    </font>
    <font>
      <sz val="8"/>
      <color indexed="8"/>
      <name val="Arial"/>
      <family val="2"/>
    </font>
    <font>
      <sz val="11"/>
      <color rgb="FFFF0000"/>
      <name val="Calibri"/>
      <family val="2"/>
      <scheme val="minor"/>
    </font>
    <font>
      <sz val="8"/>
      <color rgb="FFFF0000"/>
      <name val="Arial"/>
      <family val="2"/>
    </font>
    <font>
      <b/>
      <sz val="8"/>
      <color rgb="FFFF0000"/>
      <name val="Arial"/>
      <family val="2"/>
    </font>
    <font>
      <b/>
      <sz val="8"/>
      <color rgb="FFEF2111"/>
      <name val="Arial"/>
      <family val="2"/>
    </font>
    <font>
      <b/>
      <sz val="11"/>
      <color rgb="FFFF0000"/>
      <name val="Calibri"/>
      <family val="2"/>
      <scheme val="minor"/>
    </font>
    <font>
      <b/>
      <sz val="12"/>
      <color theme="1"/>
      <name val="Arial"/>
      <family val="2"/>
    </font>
    <font>
      <b/>
      <sz val="11"/>
      <color theme="1"/>
      <name val="Arial"/>
      <family val="2"/>
    </font>
    <font>
      <sz val="11"/>
      <color theme="1"/>
      <name val="Arial"/>
      <family val="2"/>
    </font>
    <font>
      <b/>
      <sz val="10"/>
      <color theme="1"/>
      <name val="Calibri"/>
      <family val="2"/>
      <scheme val="minor"/>
    </font>
  </fonts>
  <fills count="2">
    <fill>
      <patternFill patternType="none"/>
    </fill>
    <fill>
      <patternFill patternType="gray125"/>
    </fill>
  </fills>
  <borders count="1">
    <border>
      <left/>
      <right/>
      <top/>
      <bottom/>
      <diagonal/>
    </border>
  </borders>
  <cellStyleXfs count="8">
    <xf numFmtId="0" fontId="0" fillId="0" borderId="0"/>
    <xf numFmtId="0" fontId="4" fillId="0" borderId="0"/>
    <xf numFmtId="0" fontId="4" fillId="0" borderId="0"/>
    <xf numFmtId="0" fontId="4" fillId="0" borderId="0"/>
    <xf numFmtId="0" fontId="9" fillId="0" borderId="0"/>
    <xf numFmtId="0" fontId="10" fillId="0" borderId="0"/>
    <xf numFmtId="0" fontId="12" fillId="0" borderId="0" applyNumberFormat="0" applyFill="0" applyBorder="0" applyAlignment="0" applyProtection="0"/>
    <xf numFmtId="0" fontId="14" fillId="0" borderId="0" applyNumberFormat="0" applyFill="0" applyBorder="0" applyAlignment="0" applyProtection="0"/>
  </cellStyleXfs>
  <cellXfs count="180">
    <xf numFmtId="0" fontId="0" fillId="0" borderId="0" xfId="0"/>
    <xf numFmtId="0" fontId="2" fillId="0" borderId="0" xfId="1" applyFont="1" applyFill="1" applyAlignment="1">
      <alignment horizontal="left" vertical="top" wrapText="1"/>
    </xf>
    <xf numFmtId="0" fontId="3" fillId="0" borderId="0" xfId="0" applyFont="1" applyFill="1" applyAlignment="1">
      <alignment vertical="top" wrapText="1"/>
    </xf>
    <xf numFmtId="0" fontId="5" fillId="0" borderId="0" xfId="1" applyFont="1" applyFill="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xf>
    <xf numFmtId="0" fontId="1" fillId="0" borderId="0" xfId="0" applyFont="1" applyAlignment="1">
      <alignment vertical="top"/>
    </xf>
    <xf numFmtId="0" fontId="2" fillId="0" borderId="0" xfId="0" applyFont="1" applyAlignment="1">
      <alignment vertical="top"/>
    </xf>
    <xf numFmtId="0" fontId="2" fillId="0" borderId="0" xfId="0" applyFont="1" applyAlignment="1">
      <alignment vertical="top" wrapText="1"/>
    </xf>
    <xf numFmtId="0" fontId="1" fillId="0" borderId="0" xfId="1" applyFont="1" applyAlignment="1">
      <alignment vertical="top"/>
    </xf>
    <xf numFmtId="0" fontId="1" fillId="0" borderId="0" xfId="1" applyFont="1" applyAlignment="1">
      <alignment vertical="top" wrapText="1"/>
    </xf>
    <xf numFmtId="0" fontId="1" fillId="0" borderId="0" xfId="0" applyFont="1" applyAlignment="1">
      <alignment horizontal="left" vertical="top" wrapText="1"/>
    </xf>
    <xf numFmtId="0" fontId="1" fillId="0" borderId="0" xfId="1" applyFont="1" applyAlignment="1">
      <alignment horizontal="left" vertical="top" wrapText="1"/>
    </xf>
    <xf numFmtId="2" fontId="1" fillId="0" borderId="0" xfId="1" applyNumberFormat="1" applyFont="1" applyAlignment="1">
      <alignment horizontal="left" vertical="top" wrapText="1"/>
    </xf>
    <xf numFmtId="0" fontId="2" fillId="0" borderId="0" xfId="0" applyFont="1" applyAlignment="1">
      <alignment horizontal="left" vertical="top" wrapText="1"/>
    </xf>
    <xf numFmtId="0" fontId="2" fillId="0" borderId="0" xfId="1" applyFont="1" applyAlignment="1">
      <alignment horizontal="left" vertical="top" wrapText="1"/>
    </xf>
    <xf numFmtId="2" fontId="2" fillId="0" borderId="0" xfId="1" applyNumberFormat="1" applyFont="1" applyAlignment="1">
      <alignment horizontal="left" vertical="top" wrapText="1"/>
    </xf>
    <xf numFmtId="0" fontId="2" fillId="0" borderId="0" xfId="0" applyFont="1" applyAlignment="1">
      <alignment horizontal="left" vertical="top"/>
    </xf>
    <xf numFmtId="0" fontId="2" fillId="0" borderId="0" xfId="1" applyFont="1" applyAlignment="1">
      <alignment vertical="top" wrapText="1"/>
    </xf>
    <xf numFmtId="2" fontId="2" fillId="0" borderId="0" xfId="1" applyNumberFormat="1" applyFont="1" applyAlignment="1">
      <alignment vertical="top" wrapText="1"/>
    </xf>
    <xf numFmtId="0" fontId="2" fillId="0" borderId="0" xfId="2" applyFont="1" applyAlignment="1">
      <alignment vertical="top" wrapText="1"/>
    </xf>
    <xf numFmtId="0" fontId="1" fillId="0" borderId="0" xfId="1" applyFont="1" applyAlignment="1">
      <alignment horizontal="left" vertical="top"/>
    </xf>
    <xf numFmtId="0" fontId="2" fillId="0" borderId="0" xfId="1" applyFont="1" applyAlignment="1">
      <alignment horizontal="left" vertical="top"/>
    </xf>
    <xf numFmtId="2" fontId="1" fillId="0" borderId="0" xfId="1" applyNumberFormat="1" applyFont="1" applyAlignment="1">
      <alignment vertical="top" wrapText="1"/>
    </xf>
    <xf numFmtId="0" fontId="2" fillId="0" borderId="0" xfId="2" applyFont="1" applyAlignment="1">
      <alignment horizontal="left" vertical="top" wrapText="1"/>
    </xf>
    <xf numFmtId="2" fontId="2" fillId="0" borderId="0" xfId="2" applyNumberFormat="1" applyFont="1" applyAlignment="1">
      <alignment horizontal="left" vertical="top" wrapText="1"/>
    </xf>
    <xf numFmtId="0" fontId="1" fillId="0" borderId="0" xfId="0" applyFont="1" applyAlignment="1">
      <alignment horizontal="left" vertical="top"/>
    </xf>
    <xf numFmtId="0" fontId="5" fillId="0" borderId="0" xfId="1" applyFont="1" applyAlignment="1">
      <alignment vertical="top" wrapText="1"/>
    </xf>
    <xf numFmtId="0" fontId="5" fillId="0" borderId="0" xfId="0" applyFont="1" applyAlignment="1">
      <alignment horizontal="left" vertical="top"/>
    </xf>
    <xf numFmtId="0" fontId="11" fillId="0" borderId="0" xfId="0" applyFont="1" applyAlignment="1">
      <alignment vertical="top" wrapText="1"/>
    </xf>
    <xf numFmtId="0" fontId="5" fillId="0" borderId="0" xfId="0" applyFont="1" applyAlignment="1">
      <alignment horizontal="left" vertical="top" wrapText="1"/>
    </xf>
    <xf numFmtId="0" fontId="11" fillId="0" borderId="0" xfId="0" applyFont="1" applyAlignment="1">
      <alignment horizontal="left" vertical="top" wrapText="1"/>
    </xf>
    <xf numFmtId="2" fontId="2" fillId="0" borderId="0" xfId="2" applyNumberFormat="1" applyFont="1" applyAlignment="1">
      <alignment vertical="top" wrapText="1"/>
    </xf>
    <xf numFmtId="0" fontId="2" fillId="0" borderId="0" xfId="1" quotePrefix="1" applyFont="1" applyAlignment="1">
      <alignment vertical="top" wrapText="1"/>
    </xf>
    <xf numFmtId="0" fontId="3" fillId="0" borderId="0" xfId="0" applyFont="1" applyAlignment="1">
      <alignment horizontal="left" vertical="top"/>
    </xf>
    <xf numFmtId="0" fontId="6" fillId="0" borderId="0" xfId="0" applyFont="1" applyAlignment="1">
      <alignment vertical="top" wrapText="1"/>
    </xf>
    <xf numFmtId="0" fontId="2" fillId="0" borderId="0" xfId="1" applyFont="1" applyAlignment="1">
      <alignment vertical="top"/>
    </xf>
    <xf numFmtId="0" fontId="5" fillId="0" borderId="0" xfId="2" applyFont="1" applyAlignment="1">
      <alignment vertical="top" wrapText="1"/>
    </xf>
    <xf numFmtId="0" fontId="13" fillId="0" borderId="0" xfId="0" applyFont="1" applyAlignment="1">
      <alignment horizontal="left" vertical="top" wrapText="1"/>
    </xf>
    <xf numFmtId="0" fontId="3" fillId="0" borderId="0" xfId="0" applyFont="1" applyAlignment="1">
      <alignment vertical="top" wrapText="1"/>
    </xf>
    <xf numFmtId="0" fontId="4" fillId="0" borderId="0" xfId="0" applyFont="1"/>
    <xf numFmtId="0" fontId="0" fillId="0" borderId="0" xfId="0" applyAlignment="1">
      <alignment wrapText="1"/>
    </xf>
    <xf numFmtId="0" fontId="2" fillId="0" borderId="0" xfId="0" applyFont="1"/>
    <xf numFmtId="0" fontId="6" fillId="0" borderId="0" xfId="0" applyFont="1" applyAlignment="1">
      <alignment horizontal="left" vertical="top"/>
    </xf>
    <xf numFmtId="0" fontId="2" fillId="0" borderId="0" xfId="0" applyFont="1" applyAlignment="1">
      <alignment vertical="center" wrapText="1"/>
    </xf>
    <xf numFmtId="0" fontId="6" fillId="0" borderId="0" xfId="0" applyFont="1" applyAlignment="1">
      <alignment horizontal="left" vertical="top" wrapText="1"/>
    </xf>
    <xf numFmtId="0" fontId="6" fillId="0" borderId="0" xfId="0" applyFont="1" applyAlignment="1">
      <alignment vertical="top"/>
    </xf>
    <xf numFmtId="0" fontId="5" fillId="0" borderId="0" xfId="1" applyFont="1" applyAlignment="1">
      <alignment horizontal="left" vertical="top" wrapText="1"/>
    </xf>
    <xf numFmtId="0" fontId="4" fillId="0" borderId="0" xfId="0" applyFont="1" applyAlignment="1">
      <alignment wrapText="1"/>
    </xf>
    <xf numFmtId="2" fontId="2" fillId="0" borderId="0" xfId="0" applyNumberFormat="1" applyFont="1" applyAlignment="1">
      <alignment horizontal="left" vertical="top" wrapText="1"/>
    </xf>
    <xf numFmtId="0" fontId="5" fillId="0" borderId="0" xfId="0" applyFont="1" applyAlignment="1">
      <alignment vertical="top" wrapText="1"/>
    </xf>
    <xf numFmtId="0" fontId="5" fillId="0" borderId="0" xfId="0" applyFont="1" applyAlignment="1">
      <alignment vertical="top"/>
    </xf>
    <xf numFmtId="6" fontId="2" fillId="0" borderId="0" xfId="0" applyNumberFormat="1" applyFont="1" applyAlignment="1">
      <alignment horizontal="left" vertical="top" wrapText="1"/>
    </xf>
    <xf numFmtId="0" fontId="2" fillId="0" borderId="0" xfId="0" applyFont="1" applyAlignment="1">
      <alignment wrapText="1"/>
    </xf>
    <xf numFmtId="0" fontId="1" fillId="0" borderId="0" xfId="2" applyFont="1" applyAlignment="1">
      <alignment horizontal="left" vertical="top" wrapText="1"/>
    </xf>
    <xf numFmtId="0" fontId="1" fillId="0" borderId="0" xfId="0" applyFont="1" applyAlignment="1">
      <alignment horizontal="right" vertical="top"/>
    </xf>
    <xf numFmtId="0" fontId="1" fillId="0" borderId="0" xfId="1" applyFont="1" applyAlignment="1">
      <alignment horizontal="right" vertical="top"/>
    </xf>
    <xf numFmtId="0" fontId="2" fillId="0" borderId="0" xfId="7" applyFont="1" applyFill="1" applyAlignment="1">
      <alignment horizontal="left" vertical="top" wrapText="1"/>
    </xf>
    <xf numFmtId="8" fontId="2" fillId="0" borderId="0" xfId="0" applyNumberFormat="1" applyFont="1" applyAlignment="1">
      <alignment horizontal="left" vertical="top" wrapText="1"/>
    </xf>
    <xf numFmtId="0" fontId="2" fillId="0" borderId="0" xfId="1" applyFont="1" applyFill="1" applyAlignment="1">
      <alignment horizontal="left" vertical="top"/>
    </xf>
    <xf numFmtId="0" fontId="1" fillId="0" borderId="0" xfId="1" applyFont="1" applyFill="1" applyAlignment="1">
      <alignment vertical="top" wrapText="1"/>
    </xf>
    <xf numFmtId="2" fontId="1" fillId="0" borderId="0" xfId="1" applyNumberFormat="1" applyFont="1" applyFill="1" applyAlignment="1">
      <alignment vertical="top" wrapText="1"/>
    </xf>
    <xf numFmtId="0" fontId="5" fillId="0" borderId="0" xfId="2" applyFont="1" applyFill="1" applyAlignment="1">
      <alignment horizontal="left" vertical="top" wrapText="1"/>
    </xf>
    <xf numFmtId="0" fontId="7" fillId="0" borderId="0" xfId="0" applyFont="1" applyAlignment="1">
      <alignment vertical="top" wrapText="1"/>
    </xf>
    <xf numFmtId="0" fontId="2" fillId="0" borderId="0" xfId="3" applyFont="1" applyAlignment="1">
      <alignment vertical="top" wrapText="1"/>
    </xf>
    <xf numFmtId="0" fontId="8" fillId="0" borderId="0" xfId="0" applyFont="1" applyFill="1" applyAlignment="1">
      <alignment vertical="top"/>
    </xf>
    <xf numFmtId="0" fontId="8" fillId="0" borderId="0" xfId="0" applyFont="1" applyFill="1" applyAlignment="1">
      <alignment vertical="top" wrapText="1"/>
    </xf>
    <xf numFmtId="0" fontId="1" fillId="0" borderId="0" xfId="3" applyFont="1" applyFill="1" applyAlignment="1">
      <alignment vertical="top" wrapText="1"/>
    </xf>
    <xf numFmtId="0" fontId="3" fillId="0" borderId="0" xfId="0" applyFont="1" applyFill="1" applyAlignment="1">
      <alignment vertical="top"/>
    </xf>
    <xf numFmtId="0" fontId="3" fillId="0" borderId="0" xfId="0" applyFont="1" applyFill="1" applyAlignment="1">
      <alignment horizontal="left" vertical="top"/>
    </xf>
    <xf numFmtId="0" fontId="2" fillId="0" borderId="0" xfId="5" applyFont="1" applyFill="1" applyAlignment="1">
      <alignment vertical="top"/>
    </xf>
    <xf numFmtId="0" fontId="2" fillId="0" borderId="0" xfId="5" applyFont="1" applyFill="1" applyAlignment="1">
      <alignment horizontal="left" vertical="top"/>
    </xf>
    <xf numFmtId="0" fontId="3" fillId="0" borderId="0" xfId="5" applyFont="1" applyFill="1" applyAlignment="1">
      <alignment vertical="top" wrapText="1"/>
    </xf>
    <xf numFmtId="0" fontId="3" fillId="0" borderId="0" xfId="5" applyFont="1" applyFill="1" applyAlignment="1">
      <alignment vertical="top"/>
    </xf>
    <xf numFmtId="0" fontId="2" fillId="0" borderId="0" xfId="2" applyFont="1" applyFill="1" applyAlignment="1">
      <alignment vertical="top" wrapText="1"/>
    </xf>
    <xf numFmtId="0" fontId="3" fillId="0" borderId="0" xfId="5" applyFont="1" applyFill="1" applyAlignment="1">
      <alignment horizontal="left" vertical="top"/>
    </xf>
    <xf numFmtId="0" fontId="2" fillId="0" borderId="0" xfId="5" applyFont="1" applyFill="1" applyAlignment="1">
      <alignment vertical="top" wrapText="1"/>
    </xf>
    <xf numFmtId="0" fontId="4" fillId="0" borderId="0" xfId="1"/>
    <xf numFmtId="0" fontId="0" fillId="0" borderId="0" xfId="0" applyFill="1" applyAlignment="1">
      <alignment horizontal="left" vertical="top"/>
    </xf>
    <xf numFmtId="0" fontId="2" fillId="0" borderId="0" xfId="0" applyFont="1" applyFill="1" applyAlignment="1">
      <alignment horizontal="left" vertical="top"/>
    </xf>
    <xf numFmtId="0" fontId="15" fillId="0" borderId="0" xfId="0" applyFont="1"/>
    <xf numFmtId="0" fontId="0" fillId="0" borderId="0" xfId="0" applyFill="1"/>
    <xf numFmtId="0" fontId="4" fillId="0" borderId="0" xfId="1" applyFill="1"/>
    <xf numFmtId="2" fontId="0" fillId="0" borderId="0" xfId="0" applyNumberFormat="1"/>
    <xf numFmtId="0" fontId="0" fillId="0" borderId="0" xfId="0" applyAlignment="1">
      <alignment horizontal="left" vertical="top"/>
    </xf>
    <xf numFmtId="0" fontId="0" fillId="0" borderId="0" xfId="0" applyAlignment="1">
      <alignment horizontal="left" vertical="top" wrapText="1"/>
    </xf>
    <xf numFmtId="2" fontId="1" fillId="0" borderId="0" xfId="0" applyNumberFormat="1" applyFont="1" applyAlignment="1">
      <alignment horizontal="left" vertical="top" wrapText="1"/>
    </xf>
    <xf numFmtId="2" fontId="3" fillId="0" borderId="0" xfId="0" applyNumberFormat="1" applyFont="1" applyAlignment="1">
      <alignment horizontal="left" vertical="top" wrapText="1"/>
    </xf>
    <xf numFmtId="2" fontId="2" fillId="0" borderId="0" xfId="0" applyNumberFormat="1" applyFont="1" applyAlignment="1">
      <alignment horizontal="left" vertical="top"/>
    </xf>
    <xf numFmtId="0" fontId="16" fillId="0" borderId="0" xfId="0" applyFont="1" applyAlignment="1">
      <alignment horizontal="left" vertical="top" wrapText="1"/>
    </xf>
    <xf numFmtId="2" fontId="3" fillId="0" borderId="0" xfId="0" applyNumberFormat="1" applyFont="1" applyAlignment="1">
      <alignment horizontal="left" vertical="top"/>
    </xf>
    <xf numFmtId="0" fontId="2" fillId="0" borderId="0" xfId="1" quotePrefix="1" applyFont="1" applyAlignment="1">
      <alignment horizontal="left" vertical="top" wrapText="1"/>
    </xf>
    <xf numFmtId="0" fontId="20" fillId="0" borderId="0" xfId="1" applyFont="1" applyAlignment="1">
      <alignment horizontal="left" vertical="top" wrapText="1"/>
    </xf>
    <xf numFmtId="0" fontId="17" fillId="0" borderId="0" xfId="0" applyFont="1" applyAlignment="1">
      <alignment horizontal="left" vertical="top"/>
    </xf>
    <xf numFmtId="2" fontId="17" fillId="0" borderId="0" xfId="0" applyNumberFormat="1" applyFont="1" applyAlignment="1">
      <alignment horizontal="left" vertical="top"/>
    </xf>
    <xf numFmtId="0" fontId="20" fillId="0" borderId="0" xfId="1" applyFont="1" applyAlignment="1">
      <alignment vertical="top" wrapText="1"/>
    </xf>
    <xf numFmtId="14" fontId="2" fillId="0" borderId="0" xfId="2" applyNumberFormat="1" applyFont="1" applyAlignment="1">
      <alignment horizontal="left" vertical="top" wrapText="1"/>
    </xf>
    <xf numFmtId="1" fontId="2" fillId="0" borderId="0" xfId="2" applyNumberFormat="1" applyFont="1" applyAlignment="1">
      <alignment horizontal="left" vertical="top" wrapText="1"/>
    </xf>
    <xf numFmtId="0" fontId="21" fillId="0" borderId="0" xfId="1" applyFont="1" applyAlignment="1">
      <alignment horizontal="left" vertical="top" wrapText="1"/>
    </xf>
    <xf numFmtId="0" fontId="19" fillId="0" borderId="0" xfId="1" applyFont="1" applyAlignment="1">
      <alignment vertical="top" wrapText="1"/>
    </xf>
    <xf numFmtId="0" fontId="19" fillId="0" borderId="0" xfId="1" applyFont="1" applyAlignment="1">
      <alignment horizontal="left" vertical="top" wrapText="1"/>
    </xf>
    <xf numFmtId="0" fontId="20" fillId="0" borderId="0" xfId="0" applyFont="1" applyAlignment="1">
      <alignment vertical="top" wrapText="1"/>
    </xf>
    <xf numFmtId="0" fontId="22" fillId="0" borderId="0" xfId="0" applyFont="1"/>
    <xf numFmtId="0" fontId="18" fillId="0" borderId="0" xfId="0" applyFont="1"/>
    <xf numFmtId="0" fontId="15" fillId="0" borderId="0" xfId="0" applyFont="1" applyAlignment="1">
      <alignment horizontal="left" vertical="top"/>
    </xf>
    <xf numFmtId="0" fontId="15" fillId="0" borderId="0" xfId="0" applyFont="1" applyAlignment="1">
      <alignment horizontal="left" vertical="top" wrapText="1"/>
    </xf>
    <xf numFmtId="0" fontId="15" fillId="0" borderId="0" xfId="0" applyFont="1" applyFill="1" applyAlignment="1">
      <alignment horizontal="left" vertical="top"/>
    </xf>
    <xf numFmtId="0" fontId="3" fillId="0" borderId="0" xfId="0" applyFont="1" applyFill="1" applyAlignment="1">
      <alignment horizontal="left" vertical="top" wrapText="1"/>
    </xf>
    <xf numFmtId="2" fontId="1" fillId="0" borderId="0" xfId="1" applyNumberFormat="1" applyFont="1" applyFill="1" applyAlignment="1">
      <alignment horizontal="left" vertical="top" wrapText="1"/>
    </xf>
    <xf numFmtId="0" fontId="1" fillId="0" borderId="0" xfId="1" applyFont="1" applyFill="1" applyAlignment="1">
      <alignment horizontal="left" vertical="top" wrapText="1"/>
    </xf>
    <xf numFmtId="0" fontId="2" fillId="0" borderId="0" xfId="0" applyFont="1" applyFill="1" applyAlignment="1">
      <alignment horizontal="left" vertical="top" wrapText="1"/>
    </xf>
    <xf numFmtId="2" fontId="2" fillId="0" borderId="0" xfId="2" applyNumberFormat="1" applyFont="1" applyFill="1" applyAlignment="1">
      <alignment horizontal="left" vertical="top" wrapText="1"/>
    </xf>
    <xf numFmtId="2" fontId="2" fillId="0" borderId="0" xfId="5" applyNumberFormat="1" applyFont="1" applyFill="1" applyAlignment="1">
      <alignment horizontal="left" vertical="top" wrapText="1"/>
    </xf>
    <xf numFmtId="0" fontId="2" fillId="0" borderId="0" xfId="2" applyFont="1" applyFill="1" applyAlignment="1">
      <alignment horizontal="left" vertical="top" wrapText="1"/>
    </xf>
    <xf numFmtId="0" fontId="0" fillId="0" borderId="0" xfId="0" quotePrefix="1"/>
    <xf numFmtId="1" fontId="2" fillId="0" borderId="0" xfId="1" applyNumberFormat="1" applyFont="1" applyAlignment="1">
      <alignment horizontal="left" vertical="top" wrapText="1"/>
    </xf>
    <xf numFmtId="166" fontId="2" fillId="0" borderId="0" xfId="1" applyNumberFormat="1" applyFont="1" applyAlignment="1">
      <alignment horizontal="left" vertical="top" wrapText="1"/>
    </xf>
    <xf numFmtId="0" fontId="0" fillId="0" borderId="0" xfId="0" applyAlignment="1">
      <alignment horizontal="left"/>
    </xf>
    <xf numFmtId="164" fontId="3" fillId="0" borderId="0" xfId="0" applyNumberFormat="1" applyFont="1" applyAlignment="1">
      <alignment horizontal="left" vertical="top" wrapText="1"/>
    </xf>
    <xf numFmtId="0" fontId="0" fillId="0" borderId="0" xfId="0" applyAlignment="1"/>
    <xf numFmtId="165" fontId="2" fillId="0" borderId="0" xfId="0" applyNumberFormat="1" applyFont="1" applyAlignment="1">
      <alignment horizontal="left" vertical="top"/>
    </xf>
    <xf numFmtId="2" fontId="0" fillId="0" borderId="0" xfId="0" applyNumberFormat="1" applyAlignment="1">
      <alignment horizontal="left"/>
    </xf>
    <xf numFmtId="0" fontId="22" fillId="0" borderId="0" xfId="0" applyFont="1" applyAlignment="1">
      <alignment horizontal="left"/>
    </xf>
    <xf numFmtId="0" fontId="0" fillId="0" borderId="0" xfId="0"/>
    <xf numFmtId="166" fontId="2" fillId="0" borderId="0" xfId="2" applyNumberFormat="1" applyFont="1" applyAlignment="1">
      <alignment horizontal="right" vertical="top" wrapText="1"/>
    </xf>
    <xf numFmtId="2" fontId="2" fillId="0" borderId="0" xfId="2" applyNumberFormat="1" applyFont="1" applyAlignment="1">
      <alignment horizontal="right" vertical="top" wrapText="1"/>
    </xf>
    <xf numFmtId="0" fontId="2" fillId="0" borderId="0" xfId="2" applyFont="1" applyAlignment="1">
      <alignment horizontal="right" vertical="top" wrapText="1"/>
    </xf>
    <xf numFmtId="1" fontId="2" fillId="0" borderId="0" xfId="2" applyNumberFormat="1" applyFont="1" applyAlignment="1">
      <alignment horizontal="right" vertical="top" wrapText="1"/>
    </xf>
    <xf numFmtId="0" fontId="8" fillId="0" borderId="0" xfId="0" applyFont="1"/>
    <xf numFmtId="2" fontId="2" fillId="0" borderId="0" xfId="1" applyNumberFormat="1" applyFont="1" applyAlignment="1">
      <alignment horizontal="right" vertical="top" wrapText="1"/>
    </xf>
    <xf numFmtId="0" fontId="2" fillId="0" borderId="0" xfId="1" applyFont="1" applyAlignment="1">
      <alignment horizontal="right" vertical="top" wrapText="1"/>
    </xf>
    <xf numFmtId="166" fontId="2" fillId="0" borderId="0" xfId="1" applyNumberFormat="1" applyFont="1" applyAlignment="1">
      <alignment horizontal="right" vertical="top" wrapText="1"/>
    </xf>
    <xf numFmtId="2" fontId="2" fillId="0" borderId="0" xfId="0" applyNumberFormat="1" applyFont="1" applyAlignment="1">
      <alignment horizontal="right" vertical="top"/>
    </xf>
    <xf numFmtId="0" fontId="2" fillId="0" borderId="0" xfId="0" applyFont="1" applyAlignment="1">
      <alignment horizontal="right" vertical="top"/>
    </xf>
    <xf numFmtId="166" fontId="2" fillId="0" borderId="0" xfId="0" applyNumberFormat="1" applyFont="1" applyAlignment="1">
      <alignment horizontal="right" vertical="top"/>
    </xf>
    <xf numFmtId="2" fontId="2" fillId="0" borderId="0" xfId="1" applyNumberFormat="1" applyFont="1" applyAlignment="1">
      <alignment horizontal="right" vertical="top"/>
    </xf>
    <xf numFmtId="0" fontId="2" fillId="0" borderId="0" xfId="1" applyFont="1" applyAlignment="1">
      <alignment horizontal="right" vertical="top"/>
    </xf>
    <xf numFmtId="166" fontId="2" fillId="0" borderId="0" xfId="1" applyNumberFormat="1" applyFont="1" applyAlignment="1">
      <alignment horizontal="right" vertical="top"/>
    </xf>
    <xf numFmtId="0" fontId="0" fillId="0" borderId="0" xfId="0"/>
    <xf numFmtId="0" fontId="0" fillId="0" borderId="0" xfId="0"/>
    <xf numFmtId="0" fontId="23" fillId="0" borderId="0" xfId="0" applyFont="1"/>
    <xf numFmtId="0" fontId="24" fillId="0" borderId="0" xfId="0" applyFont="1"/>
    <xf numFmtId="0" fontId="25" fillId="0" borderId="0" xfId="0" applyFont="1"/>
    <xf numFmtId="2" fontId="25" fillId="0" borderId="0" xfId="0" applyNumberFormat="1" applyFont="1"/>
    <xf numFmtId="2" fontId="3" fillId="0" borderId="0" xfId="0" applyNumberFormat="1" applyFont="1" applyAlignment="1">
      <alignment vertical="top"/>
    </xf>
    <xf numFmtId="2" fontId="3" fillId="0" borderId="0" xfId="0" applyNumberFormat="1" applyFont="1"/>
    <xf numFmtId="2" fontId="3" fillId="0" borderId="0" xfId="0" applyNumberFormat="1" applyFont="1" applyAlignment="1">
      <alignment wrapText="1"/>
    </xf>
    <xf numFmtId="2" fontId="2" fillId="0" borderId="0" xfId="1" applyNumberFormat="1" applyFont="1" applyAlignment="1">
      <alignment horizontal="left" vertical="top"/>
    </xf>
    <xf numFmtId="0" fontId="3" fillId="0" borderId="0" xfId="0" applyFont="1"/>
    <xf numFmtId="0" fontId="25" fillId="0" borderId="0" xfId="0" applyFont="1" applyAlignment="1">
      <alignment wrapText="1"/>
    </xf>
    <xf numFmtId="0" fontId="3" fillId="0" borderId="0" xfId="0" applyFont="1" applyAlignment="1">
      <alignment wrapText="1"/>
    </xf>
    <xf numFmtId="0" fontId="25" fillId="0" borderId="0" xfId="0" applyFont="1" applyAlignment="1">
      <alignment vertical="top" wrapText="1"/>
    </xf>
    <xf numFmtId="0" fontId="25" fillId="0" borderId="0" xfId="0" applyFont="1" applyAlignment="1">
      <alignment vertical="top"/>
    </xf>
    <xf numFmtId="2" fontId="25" fillId="0" borderId="0" xfId="0" applyNumberFormat="1" applyFont="1" applyAlignment="1">
      <alignment vertical="top"/>
    </xf>
    <xf numFmtId="0" fontId="26" fillId="0" borderId="0" xfId="0" applyFont="1" applyAlignment="1">
      <alignment horizontal="left" vertical="top"/>
    </xf>
    <xf numFmtId="0" fontId="26" fillId="0" borderId="0" xfId="0" applyFont="1" applyAlignment="1">
      <alignment horizontal="left" vertical="top" wrapText="1"/>
    </xf>
    <xf numFmtId="0" fontId="3" fillId="0" borderId="0" xfId="0" applyFont="1" applyAlignment="1">
      <alignment horizontal="right" vertical="top"/>
    </xf>
    <xf numFmtId="166" fontId="3" fillId="0" borderId="0" xfId="0" applyNumberFormat="1" applyFont="1" applyAlignment="1">
      <alignment horizontal="right" vertical="top"/>
    </xf>
    <xf numFmtId="2" fontId="3" fillId="0" borderId="0" xfId="0" applyNumberFormat="1" applyFont="1" applyAlignment="1">
      <alignment horizontal="right" vertical="top"/>
    </xf>
    <xf numFmtId="2" fontId="2" fillId="0" borderId="0" xfId="0" applyNumberFormat="1" applyFont="1" applyAlignment="1">
      <alignment horizontal="right" vertical="top" wrapText="1"/>
    </xf>
    <xf numFmtId="0" fontId="2" fillId="0" borderId="0" xfId="0" applyFont="1" applyAlignment="1">
      <alignment horizontal="right" vertical="top" wrapText="1"/>
    </xf>
    <xf numFmtId="166" fontId="2" fillId="0" borderId="0" xfId="0" applyNumberFormat="1" applyFont="1" applyAlignment="1">
      <alignment horizontal="right" vertical="top" wrapText="1"/>
    </xf>
    <xf numFmtId="2" fontId="3" fillId="0" borderId="0" xfId="0" applyNumberFormat="1" applyFont="1" applyAlignment="1">
      <alignment horizontal="right" vertical="top" wrapText="1"/>
    </xf>
    <xf numFmtId="2" fontId="3" fillId="0" borderId="0" xfId="0" applyNumberFormat="1" applyFont="1" applyAlignment="1">
      <alignment vertical="top" wrapText="1"/>
    </xf>
    <xf numFmtId="2" fontId="3" fillId="0" borderId="0" xfId="0" applyNumberFormat="1" applyFont="1" applyFill="1" applyAlignment="1">
      <alignment horizontal="right" vertical="top" wrapText="1"/>
    </xf>
    <xf numFmtId="2" fontId="3" fillId="0" borderId="0" xfId="5" applyNumberFormat="1" applyFont="1" applyFill="1" applyAlignment="1">
      <alignment horizontal="right" vertical="top"/>
    </xf>
    <xf numFmtId="2" fontId="2" fillId="0" borderId="0" xfId="2" applyNumberFormat="1" applyFont="1" applyFill="1" applyAlignment="1">
      <alignment horizontal="right" vertical="top" wrapText="1"/>
    </xf>
    <xf numFmtId="0" fontId="3" fillId="0" borderId="0" xfId="0" applyFont="1" applyFill="1" applyAlignment="1">
      <alignment horizontal="right" vertical="top"/>
    </xf>
    <xf numFmtId="0" fontId="3" fillId="0" borderId="0" xfId="5" applyFont="1" applyFill="1" applyAlignment="1">
      <alignment horizontal="right" vertical="top"/>
    </xf>
    <xf numFmtId="0" fontId="2" fillId="0" borderId="0" xfId="2" applyFont="1" applyFill="1" applyAlignment="1">
      <alignment horizontal="right" vertical="top" wrapText="1"/>
    </xf>
    <xf numFmtId="2" fontId="3" fillId="0" borderId="0" xfId="0" applyNumberFormat="1" applyFont="1" applyFill="1" applyAlignment="1">
      <alignment horizontal="right" vertical="top"/>
    </xf>
    <xf numFmtId="166" fontId="2" fillId="0" borderId="0" xfId="0" applyNumberFormat="1" applyFont="1" applyFill="1" applyAlignment="1">
      <alignment horizontal="right" vertical="top" wrapText="1"/>
    </xf>
    <xf numFmtId="166" fontId="2" fillId="0" borderId="0" xfId="5" applyNumberFormat="1" applyFont="1" applyFill="1" applyAlignment="1">
      <alignment horizontal="right" vertical="top" wrapText="1"/>
    </xf>
    <xf numFmtId="0" fontId="2" fillId="0" borderId="0" xfId="0" applyFont="1" applyAlignment="1">
      <alignment horizontal="left" vertical="center" wrapText="1"/>
    </xf>
    <xf numFmtId="0" fontId="2" fillId="0" borderId="0" xfId="6" applyFont="1" applyFill="1" applyAlignment="1">
      <alignment horizontal="left" vertical="top" wrapText="1"/>
    </xf>
    <xf numFmtId="1" fontId="2" fillId="0" borderId="0" xfId="0" applyNumberFormat="1" applyFont="1" applyAlignment="1">
      <alignment horizontal="right" vertical="top"/>
    </xf>
    <xf numFmtId="1" fontId="2" fillId="0" borderId="0" xfId="1" applyNumberFormat="1" applyFont="1" applyAlignment="1">
      <alignment horizontal="right" vertical="top" wrapText="1"/>
    </xf>
    <xf numFmtId="2" fontId="1" fillId="0" borderId="0" xfId="2" applyNumberFormat="1" applyFont="1" applyAlignment="1">
      <alignment horizontal="right" vertical="top" wrapText="1"/>
    </xf>
    <xf numFmtId="0" fontId="1" fillId="0" borderId="0" xfId="2" applyFont="1" applyAlignment="1">
      <alignment horizontal="right" vertical="top" wrapText="1"/>
    </xf>
    <xf numFmtId="166" fontId="1" fillId="0" borderId="0" xfId="2" applyNumberFormat="1" applyFont="1" applyAlignment="1">
      <alignment horizontal="right" vertical="top" wrapText="1"/>
    </xf>
  </cellXfs>
  <cellStyles count="8">
    <cellStyle name="Hyperlink" xfId="6" builtinId="8"/>
    <cellStyle name="Hyperlink 2" xfId="7" xr:uid="{5B5A79DF-1225-4B44-BB04-CFAC97B1C74E}"/>
    <cellStyle name="Normal" xfId="0" builtinId="0"/>
    <cellStyle name="Normal 2" xfId="1" xr:uid="{4FD385AB-6C38-4E0B-A3B9-1CDF73FE8DB1}"/>
    <cellStyle name="Normal 2 2" xfId="2" xr:uid="{C466EB92-00EB-4114-A012-59AAFA6C3479}"/>
    <cellStyle name="Normal 3" xfId="3" xr:uid="{04DCE82E-8B5A-40D5-B39C-C354213CC9E7}"/>
    <cellStyle name="Normal 4" xfId="4" xr:uid="{7EF14C96-2DF1-4363-AD05-F2D97379445D}"/>
    <cellStyle name="Normal 6" xfId="5" xr:uid="{9254FA01-0A68-4280-B03B-F5F529B8C5F0}"/>
  </cellStyles>
  <dxfs count="2">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s1.lboro.ac.uk\PROJECTS\MIS%20+\MIS%202010-2014\MIS%202012\Spreadsheets\Master%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A"/>
      <sheetName val="B"/>
      <sheetName val="C"/>
      <sheetName val="D"/>
      <sheetName val="E"/>
      <sheetName val="F"/>
      <sheetName val="G"/>
      <sheetName val="H"/>
    </sheetNames>
    <sheetDataSet>
      <sheetData sheetId="0" refreshError="1"/>
      <sheetData sheetId="1" refreshError="1">
        <row r="10">
          <cell r="F10">
            <v>2.4874999999999998</v>
          </cell>
        </row>
        <row r="11">
          <cell r="F11">
            <v>2.3819178082191783</v>
          </cell>
        </row>
        <row r="12">
          <cell r="F12">
            <v>4.8694178082191781</v>
          </cell>
        </row>
      </sheetData>
      <sheetData sheetId="2" refreshError="1">
        <row r="11">
          <cell r="F11">
            <v>2.5197123287671235</v>
          </cell>
        </row>
        <row r="12">
          <cell r="F12">
            <v>1.9950000000000001</v>
          </cell>
        </row>
        <row r="13">
          <cell r="F13">
            <v>0.52471232876712326</v>
          </cell>
        </row>
        <row r="14">
          <cell r="F14">
            <v>0</v>
          </cell>
        </row>
        <row r="15">
          <cell r="F15">
            <v>2.5197123287671235</v>
          </cell>
        </row>
      </sheetData>
      <sheetData sheetId="3" refreshError="1">
        <row r="14">
          <cell r="F14">
            <v>0.21076712328767122</v>
          </cell>
        </row>
      </sheetData>
      <sheetData sheetId="4" refreshError="1">
        <row r="9">
          <cell r="E9">
            <v>0</v>
          </cell>
        </row>
        <row r="10">
          <cell r="E10">
            <v>186.32</v>
          </cell>
        </row>
        <row r="11">
          <cell r="E11">
            <v>0.11602739726027396</v>
          </cell>
        </row>
        <row r="12">
          <cell r="E12">
            <v>186.43602739726026</v>
          </cell>
        </row>
        <row r="13">
          <cell r="E13">
            <v>0</v>
          </cell>
        </row>
        <row r="14">
          <cell r="E14">
            <v>0</v>
          </cell>
        </row>
        <row r="15">
          <cell r="E15">
            <v>0</v>
          </cell>
        </row>
      </sheetData>
      <sheetData sheetId="5" refreshError="1">
        <row r="15">
          <cell r="F15">
            <v>6.8964383561643833E-2</v>
          </cell>
        </row>
        <row r="16">
          <cell r="F16">
            <v>0</v>
          </cell>
        </row>
        <row r="17">
          <cell r="F17">
            <v>0</v>
          </cell>
        </row>
        <row r="18">
          <cell r="F18">
            <v>0</v>
          </cell>
        </row>
        <row r="19">
          <cell r="F19">
            <v>0</v>
          </cell>
        </row>
        <row r="20">
          <cell r="F20">
            <v>0</v>
          </cell>
        </row>
        <row r="21">
          <cell r="F21">
            <v>0</v>
          </cell>
        </row>
        <row r="22">
          <cell r="F22">
            <v>6.8964383561643833E-2</v>
          </cell>
        </row>
      </sheetData>
      <sheetData sheetId="6" refreshError="1">
        <row r="8">
          <cell r="F8">
            <v>0.5523287671232876</v>
          </cell>
        </row>
      </sheetData>
      <sheetData sheetId="7" refreshError="1">
        <row r="13">
          <cell r="F13">
            <v>52.372691780821924</v>
          </cell>
        </row>
        <row r="14">
          <cell r="F14">
            <v>0</v>
          </cell>
        </row>
        <row r="15">
          <cell r="F15">
            <v>52.372691780821924</v>
          </cell>
        </row>
      </sheetData>
      <sheetData sheetId="8" refreshError="1">
        <row r="16">
          <cell r="F16">
            <v>1.9904931506849317</v>
          </cell>
        </row>
        <row r="17">
          <cell r="F17">
            <v>0</v>
          </cell>
        </row>
        <row r="18">
          <cell r="F18">
            <v>0.10835616438356165</v>
          </cell>
        </row>
        <row r="19">
          <cell r="F19">
            <v>0</v>
          </cell>
        </row>
        <row r="20">
          <cell r="F20">
            <v>0</v>
          </cell>
        </row>
        <row r="21">
          <cell r="F21">
            <v>0</v>
          </cell>
        </row>
        <row r="22">
          <cell r="F22">
            <v>2.0988493150684935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D6C59-9432-473F-8F4F-9BACECF88CDF}">
  <dimension ref="A1:H45"/>
  <sheetViews>
    <sheetView view="pageBreakPreview" zoomScale="60" zoomScaleNormal="80" workbookViewId="0">
      <selection activeCell="E47" sqref="E47"/>
    </sheetView>
  </sheetViews>
  <sheetFormatPr defaultRowHeight="15" x14ac:dyDescent="0.25"/>
  <cols>
    <col min="1" max="1" width="35.28515625" customWidth="1"/>
    <col min="4" max="4" width="23" customWidth="1"/>
    <col min="5" max="5" width="14" customWidth="1"/>
    <col min="6" max="6" width="12" bestFit="1" customWidth="1"/>
    <col min="7" max="7" width="33.7109375" customWidth="1"/>
  </cols>
  <sheetData>
    <row r="1" spans="1:8" ht="15.75" x14ac:dyDescent="0.25">
      <c r="A1" s="140" t="s">
        <v>0</v>
      </c>
      <c r="B1" s="141"/>
      <c r="C1" s="141"/>
      <c r="D1" s="141"/>
      <c r="E1" s="142"/>
      <c r="F1" s="138"/>
      <c r="G1" s="138"/>
      <c r="H1" s="152"/>
    </row>
    <row r="2" spans="1:8" ht="15.75" x14ac:dyDescent="0.25">
      <c r="A2" s="140"/>
      <c r="B2" s="141"/>
      <c r="C2" s="141"/>
      <c r="D2" s="141"/>
      <c r="E2" s="142"/>
      <c r="F2" s="138"/>
      <c r="G2" s="138"/>
      <c r="H2" s="152"/>
    </row>
    <row r="3" spans="1:8" ht="15.75" x14ac:dyDescent="0.25">
      <c r="A3" s="140" t="s">
        <v>1177</v>
      </c>
      <c r="B3" s="141"/>
      <c r="C3" s="141"/>
      <c r="D3" s="141"/>
      <c r="E3" s="142"/>
      <c r="F3" s="83"/>
      <c r="G3" s="151" t="s">
        <v>1147</v>
      </c>
      <c r="H3" s="153">
        <f>E5</f>
        <v>61.90106871908911</v>
      </c>
    </row>
    <row r="4" spans="1:8" x14ac:dyDescent="0.25">
      <c r="A4" s="141"/>
      <c r="B4" s="141"/>
      <c r="C4" s="141"/>
      <c r="D4" s="141"/>
      <c r="E4" s="142"/>
      <c r="F4" s="83"/>
      <c r="G4" s="151" t="s">
        <v>1148</v>
      </c>
      <c r="H4" s="153">
        <f>E9</f>
        <v>6.598794520547945</v>
      </c>
    </row>
    <row r="5" spans="1:8" x14ac:dyDescent="0.25">
      <c r="A5" s="142" t="s">
        <v>1179</v>
      </c>
      <c r="B5" s="143"/>
      <c r="C5" s="143"/>
      <c r="D5" s="143"/>
      <c r="E5" s="143">
        <f>SUM(E6:E7)</f>
        <v>61.90106871908911</v>
      </c>
      <c r="F5" s="83"/>
      <c r="G5" s="151" t="s">
        <v>1149</v>
      </c>
      <c r="H5" s="152">
        <f>E12</f>
        <v>0</v>
      </c>
    </row>
    <row r="6" spans="1:8" x14ac:dyDescent="0.25">
      <c r="A6" s="142"/>
      <c r="B6" s="143" t="s">
        <v>1180</v>
      </c>
      <c r="C6" s="143"/>
      <c r="D6" s="143"/>
      <c r="E6" s="143">
        <f>Food!E91</f>
        <v>50.44543858210281</v>
      </c>
      <c r="F6" s="83"/>
      <c r="G6" s="151" t="s">
        <v>1150</v>
      </c>
      <c r="H6" s="153">
        <f>E14</f>
        <v>6.2459625570776254</v>
      </c>
    </row>
    <row r="7" spans="1:8" x14ac:dyDescent="0.25">
      <c r="A7" s="142"/>
      <c r="B7" s="143" t="s">
        <v>1181</v>
      </c>
      <c r="C7" s="143"/>
      <c r="D7" s="143"/>
      <c r="E7" s="143">
        <f>Food!E92</f>
        <v>11.455630136986303</v>
      </c>
      <c r="F7" s="83"/>
      <c r="G7" s="151" t="s">
        <v>179</v>
      </c>
      <c r="H7" s="153">
        <f>E17</f>
        <v>7.4409989999999997</v>
      </c>
    </row>
    <row r="8" spans="1:8" x14ac:dyDescent="0.25">
      <c r="A8" s="142"/>
      <c r="B8" s="143"/>
      <c r="C8" s="143"/>
      <c r="D8" s="143"/>
      <c r="E8" s="142"/>
      <c r="F8" s="83"/>
      <c r="G8" s="151" t="s">
        <v>182</v>
      </c>
      <c r="H8" s="153">
        <f>E18</f>
        <v>16.55</v>
      </c>
    </row>
    <row r="9" spans="1:8" x14ac:dyDescent="0.25">
      <c r="A9" s="142" t="s">
        <v>1182</v>
      </c>
      <c r="B9" s="143" t="s">
        <v>1183</v>
      </c>
      <c r="C9" s="143"/>
      <c r="D9" s="143"/>
      <c r="E9" s="143">
        <f>SUM(E10:E11)</f>
        <v>6.598794520547945</v>
      </c>
      <c r="F9" s="83"/>
      <c r="G9" s="151" t="s">
        <v>1151</v>
      </c>
      <c r="H9" s="153">
        <f>E19</f>
        <v>1.4705753424657535</v>
      </c>
    </row>
    <row r="10" spans="1:8" x14ac:dyDescent="0.25">
      <c r="A10" s="142"/>
      <c r="B10" s="143"/>
      <c r="C10" s="143" t="s">
        <v>1184</v>
      </c>
      <c r="D10" s="143"/>
      <c r="E10" s="143">
        <f>Alcohol!F8</f>
        <v>5.6</v>
      </c>
      <c r="F10" s="83"/>
      <c r="G10" s="151" t="s">
        <v>187</v>
      </c>
      <c r="H10" s="153">
        <f>E20</f>
        <v>25.70704198712329</v>
      </c>
    </row>
    <row r="11" spans="1:8" x14ac:dyDescent="0.25">
      <c r="A11" s="142"/>
      <c r="B11" s="143"/>
      <c r="C11" s="143" t="s">
        <v>1185</v>
      </c>
      <c r="D11" s="143"/>
      <c r="E11" s="143">
        <f>Alcohol!F9</f>
        <v>0.99879452054794526</v>
      </c>
      <c r="F11" s="83"/>
      <c r="G11" s="151" t="s">
        <v>1152</v>
      </c>
      <c r="H11" s="153">
        <f>E21</f>
        <v>1.9178082191780821</v>
      </c>
    </row>
    <row r="12" spans="1:8" x14ac:dyDescent="0.25">
      <c r="A12" s="142"/>
      <c r="B12" s="143" t="s">
        <v>1186</v>
      </c>
      <c r="C12" s="143"/>
      <c r="D12" s="143"/>
      <c r="E12" s="142">
        <v>0</v>
      </c>
      <c r="F12" s="83"/>
      <c r="G12" s="151" t="s">
        <v>1153</v>
      </c>
      <c r="H12" s="153">
        <f>E23</f>
        <v>19.648217621825882</v>
      </c>
    </row>
    <row r="13" spans="1:8" x14ac:dyDescent="0.25">
      <c r="A13" s="142"/>
      <c r="B13" s="143"/>
      <c r="C13" s="143"/>
      <c r="D13" s="143"/>
      <c r="E13" s="142"/>
      <c r="F13" s="83"/>
      <c r="G13" s="151" t="s">
        <v>1154</v>
      </c>
      <c r="H13" s="153">
        <f>E24</f>
        <v>10.021864273342782</v>
      </c>
    </row>
    <row r="14" spans="1:8" x14ac:dyDescent="0.25">
      <c r="A14" s="142" t="s">
        <v>1187</v>
      </c>
      <c r="B14" s="143"/>
      <c r="C14" s="143"/>
      <c r="D14" s="143"/>
      <c r="E14" s="143">
        <f>SUM(Clothing!F38+Footwear!E11)</f>
        <v>6.2459625570776254</v>
      </c>
      <c r="F14" s="83"/>
      <c r="G14" s="151" t="s">
        <v>1155</v>
      </c>
      <c r="H14" s="152">
        <f>E28</f>
        <v>0</v>
      </c>
    </row>
    <row r="15" spans="1:8" x14ac:dyDescent="0.25">
      <c r="A15" s="142" t="s">
        <v>1188</v>
      </c>
      <c r="B15" s="143" t="s">
        <v>1189</v>
      </c>
      <c r="C15" s="143"/>
      <c r="E15" s="143">
        <f>Housing!E12</f>
        <v>81.018352510523968</v>
      </c>
      <c r="F15" s="83"/>
      <c r="G15" s="151" t="s">
        <v>1156</v>
      </c>
      <c r="H15" s="153">
        <f>E31</f>
        <v>26.459642922374435</v>
      </c>
    </row>
    <row r="16" spans="1:8" x14ac:dyDescent="0.25">
      <c r="A16" s="142"/>
      <c r="B16" s="143" t="s">
        <v>1190</v>
      </c>
      <c r="C16" s="143"/>
      <c r="E16" s="143">
        <f>Housing!E13</f>
        <v>0</v>
      </c>
      <c r="F16" s="83"/>
      <c r="G16" s="151" t="s">
        <v>1157</v>
      </c>
      <c r="H16" s="152">
        <f>E32</f>
        <v>0</v>
      </c>
    </row>
    <row r="17" spans="1:8" x14ac:dyDescent="0.25">
      <c r="A17" s="142"/>
      <c r="B17" s="143" t="s">
        <v>1191</v>
      </c>
      <c r="C17" s="143"/>
      <c r="E17" s="143">
        <f>Housing!E14</f>
        <v>7.4409989999999997</v>
      </c>
      <c r="F17" s="83"/>
      <c r="G17" s="151" t="s">
        <v>1158</v>
      </c>
      <c r="H17" s="153">
        <f>E33</f>
        <v>12.365296803652969</v>
      </c>
    </row>
    <row r="18" spans="1:8" x14ac:dyDescent="0.25">
      <c r="A18" s="142"/>
      <c r="B18" s="143" t="s">
        <v>1192</v>
      </c>
      <c r="C18" s="143"/>
      <c r="E18" s="143">
        <f>Housing!E15</f>
        <v>16.55</v>
      </c>
      <c r="F18" s="83"/>
      <c r="G18" s="151" t="s">
        <v>1193</v>
      </c>
      <c r="H18" s="153">
        <f>E34</f>
        <v>48.741789041095892</v>
      </c>
    </row>
    <row r="19" spans="1:8" x14ac:dyDescent="0.25">
      <c r="A19" s="142"/>
      <c r="B19" s="143" t="s">
        <v>1194</v>
      </c>
      <c r="C19" s="143"/>
      <c r="E19" s="143">
        <f>Housing!E16</f>
        <v>1.4705753424657535</v>
      </c>
      <c r="F19" s="83"/>
      <c r="G19" s="151" t="s">
        <v>1195</v>
      </c>
      <c r="H19" s="153">
        <f>SUM(H3:H18)</f>
        <v>245.06906100777377</v>
      </c>
    </row>
    <row r="20" spans="1:8" x14ac:dyDescent="0.25">
      <c r="A20" s="142"/>
      <c r="B20" s="143" t="s">
        <v>1196</v>
      </c>
      <c r="C20" s="143"/>
      <c r="E20" s="143">
        <f>Housing!E17</f>
        <v>25.70704198712329</v>
      </c>
      <c r="F20" s="83"/>
      <c r="G20" s="151" t="s">
        <v>1197</v>
      </c>
      <c r="H20" s="153">
        <f>E15</f>
        <v>81.018352510523968</v>
      </c>
    </row>
    <row r="21" spans="1:8" x14ac:dyDescent="0.25">
      <c r="A21" s="142"/>
      <c r="B21" s="143" t="s">
        <v>1198</v>
      </c>
      <c r="C21" s="143"/>
      <c r="E21" s="143">
        <f>Housing!E18</f>
        <v>1.9178082191780821</v>
      </c>
      <c r="F21" s="83"/>
      <c r="G21" s="138"/>
      <c r="H21" s="142"/>
    </row>
    <row r="22" spans="1:8" x14ac:dyDescent="0.25">
      <c r="A22" s="142"/>
      <c r="B22" s="143"/>
      <c r="C22" s="143"/>
      <c r="D22" s="143"/>
      <c r="E22" s="142"/>
      <c r="F22" s="138"/>
      <c r="G22" s="138"/>
      <c r="H22" s="142"/>
    </row>
    <row r="23" spans="1:8" x14ac:dyDescent="0.25">
      <c r="A23" s="142" t="s">
        <v>1199</v>
      </c>
      <c r="B23" s="143" t="s">
        <v>1200</v>
      </c>
      <c r="C23" s="143"/>
      <c r="D23" s="143"/>
      <c r="E23" s="143">
        <f>HHGoods!F184</f>
        <v>19.648217621825882</v>
      </c>
      <c r="F23" s="138"/>
      <c r="G23" s="138"/>
      <c r="H23" s="142"/>
    </row>
    <row r="24" spans="1:8" x14ac:dyDescent="0.25">
      <c r="A24" s="142"/>
      <c r="B24" s="143" t="s">
        <v>1201</v>
      </c>
      <c r="C24" s="143"/>
      <c r="D24" s="143"/>
      <c r="E24" s="143">
        <f>SUM(E26:E29)</f>
        <v>10.021864273342782</v>
      </c>
      <c r="F24" s="138"/>
      <c r="G24" s="138"/>
      <c r="H24" s="142"/>
    </row>
    <row r="25" spans="1:8" x14ac:dyDescent="0.25">
      <c r="A25" s="142"/>
      <c r="B25" s="143"/>
      <c r="C25" s="143" t="s">
        <v>1202</v>
      </c>
      <c r="D25" s="143"/>
      <c r="E25" s="143">
        <f>SUM(E26:E27)</f>
        <v>10.021864273342782</v>
      </c>
      <c r="F25" s="138"/>
      <c r="G25" s="138"/>
      <c r="H25" s="142"/>
    </row>
    <row r="26" spans="1:8" x14ac:dyDescent="0.25">
      <c r="A26" s="142"/>
      <c r="B26" s="142"/>
      <c r="C26" s="142"/>
      <c r="D26" s="142" t="s">
        <v>1203</v>
      </c>
      <c r="E26" s="143">
        <f>HHServices!F11</f>
        <v>2.298850574712644</v>
      </c>
      <c r="F26" s="138"/>
      <c r="G26" s="138"/>
      <c r="H26" s="142"/>
    </row>
    <row r="27" spans="1:8" x14ac:dyDescent="0.25">
      <c r="A27" s="142"/>
      <c r="B27" s="142"/>
      <c r="C27" s="142"/>
      <c r="D27" s="142" t="s">
        <v>1204</v>
      </c>
      <c r="E27" s="143">
        <f>HHServices!F12</f>
        <v>7.7230136986301385</v>
      </c>
      <c r="F27" s="138"/>
      <c r="G27" s="138"/>
      <c r="H27" s="142"/>
    </row>
    <row r="28" spans="1:8" x14ac:dyDescent="0.25">
      <c r="A28" s="142"/>
      <c r="B28" s="143"/>
      <c r="C28" s="143" t="s">
        <v>1205</v>
      </c>
      <c r="D28" s="143"/>
      <c r="E28" s="142">
        <v>0</v>
      </c>
      <c r="F28" s="138"/>
      <c r="G28" s="138"/>
      <c r="H28" s="142"/>
    </row>
    <row r="29" spans="1:8" x14ac:dyDescent="0.25">
      <c r="A29" s="142"/>
      <c r="B29" s="143"/>
      <c r="C29" s="143" t="s">
        <v>1206</v>
      </c>
      <c r="D29" s="143"/>
      <c r="E29" s="142">
        <v>0</v>
      </c>
      <c r="F29" s="138"/>
      <c r="G29" s="138"/>
      <c r="H29" s="142"/>
    </row>
    <row r="30" spans="1:8" x14ac:dyDescent="0.25">
      <c r="A30" s="142"/>
      <c r="B30" s="143"/>
      <c r="C30" s="143"/>
      <c r="D30" s="143"/>
      <c r="E30" s="142"/>
      <c r="F30" s="138"/>
      <c r="G30" s="138"/>
      <c r="H30" s="142"/>
    </row>
    <row r="31" spans="1:8" ht="29.25" x14ac:dyDescent="0.25">
      <c r="A31" s="149" t="s">
        <v>1207</v>
      </c>
      <c r="B31" s="143"/>
      <c r="C31" s="143"/>
      <c r="D31" s="143"/>
      <c r="E31" s="143">
        <f>SUM('PersonalGoods+Services'!F40+Health!F22)</f>
        <v>26.459642922374435</v>
      </c>
      <c r="F31" s="138"/>
      <c r="G31" s="138"/>
      <c r="H31" s="142"/>
    </row>
    <row r="32" spans="1:8" x14ac:dyDescent="0.25">
      <c r="A32" s="142" t="s">
        <v>1208</v>
      </c>
      <c r="B32" s="142" t="s">
        <v>1209</v>
      </c>
      <c r="C32" s="142"/>
      <c r="D32" s="142"/>
      <c r="E32" s="142">
        <v>0</v>
      </c>
      <c r="F32" s="138"/>
      <c r="G32" s="138"/>
      <c r="H32" s="142"/>
    </row>
    <row r="33" spans="1:8" x14ac:dyDescent="0.25">
      <c r="A33" s="142"/>
      <c r="B33" s="142" t="s">
        <v>1210</v>
      </c>
      <c r="C33" s="142"/>
      <c r="D33" s="142"/>
      <c r="E33" s="143">
        <f>Transport!E9</f>
        <v>12.365296803652969</v>
      </c>
      <c r="F33" s="138"/>
      <c r="G33" s="138"/>
      <c r="H33" s="142"/>
    </row>
    <row r="34" spans="1:8" x14ac:dyDescent="0.25">
      <c r="A34" s="142" t="s">
        <v>1211</v>
      </c>
      <c r="B34" s="142"/>
      <c r="C34" s="142"/>
      <c r="D34" s="142"/>
      <c r="E34" s="143">
        <f>SUM(E35:E40)</f>
        <v>48.741789041095892</v>
      </c>
      <c r="F34" s="138"/>
      <c r="G34" s="138"/>
      <c r="H34" s="142"/>
    </row>
    <row r="35" spans="1:8" x14ac:dyDescent="0.25">
      <c r="A35" s="142"/>
      <c r="B35" s="142" t="s">
        <v>1212</v>
      </c>
      <c r="C35" s="142"/>
      <c r="D35" s="142"/>
      <c r="E35" s="143">
        <f>LeisureGoods!E15</f>
        <v>13.438063013698631</v>
      </c>
      <c r="F35" s="138"/>
      <c r="G35" s="138"/>
      <c r="H35" s="142"/>
    </row>
    <row r="36" spans="1:8" x14ac:dyDescent="0.25">
      <c r="A36" s="142"/>
      <c r="B36" s="142" t="s">
        <v>1213</v>
      </c>
      <c r="C36" s="142"/>
      <c r="D36" s="142"/>
      <c r="E36" s="142">
        <v>0</v>
      </c>
      <c r="F36" s="138"/>
      <c r="G36" s="138"/>
      <c r="H36" s="142"/>
    </row>
    <row r="37" spans="1:8" x14ac:dyDescent="0.25">
      <c r="A37" s="142"/>
      <c r="B37" s="142" t="s">
        <v>1214</v>
      </c>
      <c r="C37" s="142"/>
      <c r="D37" s="142"/>
      <c r="E37" s="143">
        <f>LeisureServices!E14</f>
        <v>21.783178082191782</v>
      </c>
      <c r="F37" s="138"/>
      <c r="G37" s="138"/>
      <c r="H37" s="142"/>
    </row>
    <row r="38" spans="1:8" x14ac:dyDescent="0.25">
      <c r="A38" s="142"/>
      <c r="B38" s="143" t="s">
        <v>1215</v>
      </c>
      <c r="C38" s="143"/>
      <c r="D38" s="143"/>
      <c r="E38" s="143">
        <f>LeisureServices!E15</f>
        <v>3.0493150684931507</v>
      </c>
      <c r="F38" s="138"/>
      <c r="G38" s="138"/>
      <c r="H38" s="142"/>
    </row>
    <row r="39" spans="1:8" x14ac:dyDescent="0.25">
      <c r="A39" s="142"/>
      <c r="B39" s="143" t="s">
        <v>1216</v>
      </c>
      <c r="C39" s="143"/>
      <c r="D39" s="143"/>
      <c r="E39" s="142">
        <v>0</v>
      </c>
      <c r="F39" s="138"/>
      <c r="G39" s="138"/>
      <c r="H39" s="142"/>
    </row>
    <row r="40" spans="1:8" x14ac:dyDescent="0.25">
      <c r="A40" s="142"/>
      <c r="B40" s="143" t="s">
        <v>1217</v>
      </c>
      <c r="C40" s="143"/>
      <c r="D40" s="143"/>
      <c r="E40" s="143">
        <f>LeisureServices!E17</f>
        <v>10.471232876712328</v>
      </c>
      <c r="F40" s="138"/>
      <c r="G40" s="138"/>
      <c r="H40" s="142"/>
    </row>
    <row r="41" spans="1:8" x14ac:dyDescent="0.25">
      <c r="B41" s="83"/>
      <c r="C41" s="83"/>
    </row>
    <row r="43" spans="1:8" x14ac:dyDescent="0.25">
      <c r="B43" s="83"/>
      <c r="C43" s="83"/>
      <c r="D43" s="83"/>
    </row>
    <row r="45" spans="1:8" x14ac:dyDescent="0.25">
      <c r="B45" s="83"/>
      <c r="C45" s="83"/>
    </row>
  </sheetData>
  <printOptions gridLines="1"/>
  <pageMargins left="0.7" right="0.7" top="0.75" bottom="0.75" header="0.3" footer="0.3"/>
  <pageSetup paperSize="9"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F56EC-F186-4247-A307-3D0D5E332FC6}">
  <sheetPr>
    <pageSetUpPr fitToPage="1"/>
  </sheetPr>
  <dimension ref="A1:M36"/>
  <sheetViews>
    <sheetView view="pageBreakPreview" zoomScaleNormal="80" zoomScaleSheetLayoutView="100" workbookViewId="0">
      <selection activeCell="Q27" sqref="Q27"/>
    </sheetView>
  </sheetViews>
  <sheetFormatPr defaultRowHeight="15" x14ac:dyDescent="0.25"/>
  <cols>
    <col min="1" max="1" width="7.28515625" customWidth="1"/>
    <col min="3" max="3" width="7" customWidth="1"/>
    <col min="4" max="4" width="10.5703125" customWidth="1"/>
    <col min="5" max="5" width="18.5703125" customWidth="1"/>
    <col min="6" max="6" width="14.140625" customWidth="1"/>
    <col min="7" max="7" width="7.7109375" style="117" customWidth="1"/>
    <col min="8" max="8" width="7.5703125" style="117" customWidth="1"/>
    <col min="9" max="9" width="9.140625" style="117"/>
    <col min="10" max="10" width="9.7109375" style="117" customWidth="1"/>
    <col min="11" max="11" width="9.140625" style="117"/>
    <col min="12" max="12" width="31.140625" customWidth="1"/>
    <col min="13" max="13" width="41.7109375" style="119" customWidth="1"/>
    <col min="14" max="14" width="11.5703125" customWidth="1"/>
  </cols>
  <sheetData>
    <row r="1" spans="1:13" x14ac:dyDescent="0.25">
      <c r="A1" s="6" t="s">
        <v>0</v>
      </c>
      <c r="B1" s="26"/>
      <c r="C1" s="7"/>
      <c r="D1" s="7"/>
      <c r="E1" s="7"/>
      <c r="F1" s="7"/>
      <c r="G1" s="17"/>
      <c r="H1" s="17"/>
      <c r="I1" s="17"/>
      <c r="J1" s="17"/>
      <c r="K1" s="17"/>
      <c r="L1" s="8"/>
      <c r="M1" s="7"/>
    </row>
    <row r="2" spans="1:13" x14ac:dyDescent="0.25">
      <c r="A2" s="6" t="s">
        <v>15</v>
      </c>
      <c r="B2" s="26"/>
      <c r="C2" s="6"/>
      <c r="D2" s="39"/>
      <c r="E2" s="39"/>
      <c r="F2" s="39"/>
      <c r="G2" s="4"/>
      <c r="H2" s="118"/>
      <c r="I2" s="4"/>
      <c r="J2" s="4"/>
      <c r="K2" s="4"/>
      <c r="L2" s="39"/>
      <c r="M2" s="39"/>
    </row>
    <row r="3" spans="1:13" x14ac:dyDescent="0.25">
      <c r="A3" s="9" t="s">
        <v>1177</v>
      </c>
      <c r="B3" s="21"/>
      <c r="C3" s="18"/>
      <c r="D3" s="18"/>
      <c r="E3" s="18"/>
      <c r="F3" s="18"/>
      <c r="G3" s="15"/>
      <c r="H3" s="15"/>
      <c r="I3" s="15"/>
      <c r="J3" s="15"/>
      <c r="K3" s="15"/>
      <c r="L3" s="18"/>
      <c r="M3" s="18"/>
    </row>
    <row r="4" spans="1:13" ht="22.5" x14ac:dyDescent="0.25">
      <c r="A4" s="11" t="s">
        <v>1</v>
      </c>
      <c r="B4" s="11" t="s">
        <v>2</v>
      </c>
      <c r="C4" s="11" t="s">
        <v>3</v>
      </c>
      <c r="D4" s="12" t="s">
        <v>4</v>
      </c>
      <c r="E4" s="12" t="s">
        <v>5</v>
      </c>
      <c r="F4" s="12" t="s">
        <v>7</v>
      </c>
      <c r="G4" s="13" t="s">
        <v>8</v>
      </c>
      <c r="H4" s="13" t="s">
        <v>9</v>
      </c>
      <c r="I4" s="12" t="s">
        <v>10</v>
      </c>
      <c r="J4" s="12" t="s">
        <v>11</v>
      </c>
      <c r="K4" s="13" t="s">
        <v>12</v>
      </c>
      <c r="L4" s="13" t="s">
        <v>13</v>
      </c>
      <c r="M4" s="10" t="s">
        <v>14</v>
      </c>
    </row>
    <row r="5" spans="1:13" x14ac:dyDescent="0.25">
      <c r="A5" s="14" t="s">
        <v>17</v>
      </c>
      <c r="B5" s="14">
        <v>6.2</v>
      </c>
      <c r="C5" s="14" t="s">
        <v>163</v>
      </c>
      <c r="D5" s="15" t="s">
        <v>16</v>
      </c>
      <c r="E5" s="15" t="s">
        <v>823</v>
      </c>
      <c r="F5" s="15"/>
      <c r="G5" s="129">
        <v>0</v>
      </c>
      <c r="H5" s="176">
        <v>1</v>
      </c>
      <c r="I5" s="130">
        <v>1</v>
      </c>
      <c r="J5" s="131">
        <f>365/7*2</f>
        <v>104.28571428571429</v>
      </c>
      <c r="K5" s="129">
        <f>G5*I5/J5</f>
        <v>0</v>
      </c>
      <c r="L5" s="16" t="s">
        <v>824</v>
      </c>
      <c r="M5" s="18" t="s">
        <v>825</v>
      </c>
    </row>
    <row r="6" spans="1:13" ht="45" x14ac:dyDescent="0.25">
      <c r="A6" s="7" t="s">
        <v>17</v>
      </c>
      <c r="B6" s="17">
        <v>6.1</v>
      </c>
      <c r="C6" s="17" t="s">
        <v>163</v>
      </c>
      <c r="D6" s="14" t="s">
        <v>16</v>
      </c>
      <c r="E6" s="14" t="s">
        <v>18</v>
      </c>
      <c r="F6" s="8"/>
      <c r="G6" s="132">
        <v>200</v>
      </c>
      <c r="H6" s="133">
        <v>1</v>
      </c>
      <c r="I6" s="133">
        <v>1</v>
      </c>
      <c r="J6" s="134">
        <f>365/7*2</f>
        <v>104.28571428571429</v>
      </c>
      <c r="K6" s="132">
        <f>G6*I6/J6</f>
        <v>1.9178082191780821</v>
      </c>
      <c r="L6" s="8" t="s">
        <v>826</v>
      </c>
      <c r="M6" s="64" t="s">
        <v>827</v>
      </c>
    </row>
    <row r="7" spans="1:13" ht="22.5" x14ac:dyDescent="0.25">
      <c r="A7" s="7" t="s">
        <v>17</v>
      </c>
      <c r="B7" s="17">
        <v>6.2</v>
      </c>
      <c r="C7" s="17" t="s">
        <v>163</v>
      </c>
      <c r="D7" s="14" t="s">
        <v>16</v>
      </c>
      <c r="E7" s="14" t="s">
        <v>19</v>
      </c>
      <c r="F7" s="51"/>
      <c r="G7" s="132">
        <v>23.8</v>
      </c>
      <c r="H7" s="133">
        <v>1</v>
      </c>
      <c r="I7" s="133">
        <v>2</v>
      </c>
      <c r="J7" s="134">
        <f>365/7</f>
        <v>52.142857142857146</v>
      </c>
      <c r="K7" s="129">
        <f t="shared" ref="K7:K14" si="0">G7*I7/J7</f>
        <v>0.9128767123287671</v>
      </c>
      <c r="L7" s="8" t="s">
        <v>828</v>
      </c>
      <c r="M7" s="8" t="s">
        <v>36</v>
      </c>
    </row>
    <row r="8" spans="1:13" ht="22.5" x14ac:dyDescent="0.25">
      <c r="A8" s="7" t="s">
        <v>17</v>
      </c>
      <c r="B8" s="17">
        <v>6.2</v>
      </c>
      <c r="C8" s="17" t="s">
        <v>163</v>
      </c>
      <c r="D8" s="14" t="s">
        <v>16</v>
      </c>
      <c r="E8" s="14" t="s">
        <v>20</v>
      </c>
      <c r="F8" s="8"/>
      <c r="G8" s="132">
        <v>282.8</v>
      </c>
      <c r="H8" s="133">
        <v>1</v>
      </c>
      <c r="I8" s="133">
        <v>1</v>
      </c>
      <c r="J8" s="134">
        <f>365/7*5</f>
        <v>260.71428571428572</v>
      </c>
      <c r="K8" s="129">
        <f t="shared" si="0"/>
        <v>1.0847123287671232</v>
      </c>
      <c r="L8" s="8" t="s">
        <v>846</v>
      </c>
      <c r="M8" s="8" t="s">
        <v>829</v>
      </c>
    </row>
    <row r="9" spans="1:13" ht="22.5" x14ac:dyDescent="0.25">
      <c r="A9" s="7" t="s">
        <v>17</v>
      </c>
      <c r="B9" s="17">
        <v>6.2</v>
      </c>
      <c r="C9" s="17" t="s">
        <v>163</v>
      </c>
      <c r="D9" s="14" t="s">
        <v>16</v>
      </c>
      <c r="E9" s="14" t="s">
        <v>830</v>
      </c>
      <c r="F9" s="8"/>
      <c r="G9" s="132">
        <v>30</v>
      </c>
      <c r="H9" s="133">
        <v>1</v>
      </c>
      <c r="I9" s="133">
        <v>1</v>
      </c>
      <c r="J9" s="134">
        <f>365/84*2</f>
        <v>8.6904761904761898</v>
      </c>
      <c r="K9" s="132">
        <f t="shared" si="0"/>
        <v>3.4520547945205484</v>
      </c>
      <c r="L9" s="8" t="s">
        <v>847</v>
      </c>
      <c r="M9" s="50"/>
    </row>
    <row r="10" spans="1:13" ht="22.5" x14ac:dyDescent="0.25">
      <c r="A10" s="7" t="s">
        <v>17</v>
      </c>
      <c r="B10" s="14">
        <v>6.1</v>
      </c>
      <c r="C10" s="17" t="s">
        <v>163</v>
      </c>
      <c r="D10" s="15" t="s">
        <v>16</v>
      </c>
      <c r="E10" s="14" t="s">
        <v>23</v>
      </c>
      <c r="F10" s="7" t="s">
        <v>29</v>
      </c>
      <c r="G10" s="132">
        <v>0.28999999999999998</v>
      </c>
      <c r="H10" s="133">
        <v>16</v>
      </c>
      <c r="I10" s="133">
        <v>1</v>
      </c>
      <c r="J10" s="134">
        <f>365/84*2</f>
        <v>8.6904761904761898</v>
      </c>
      <c r="K10" s="132">
        <f t="shared" si="0"/>
        <v>3.3369863013698632E-2</v>
      </c>
      <c r="L10" s="8" t="s">
        <v>848</v>
      </c>
      <c r="M10" s="8" t="s">
        <v>30</v>
      </c>
    </row>
    <row r="11" spans="1:13" x14ac:dyDescent="0.25">
      <c r="A11" s="7" t="s">
        <v>17</v>
      </c>
      <c r="B11" s="17">
        <v>6.1</v>
      </c>
      <c r="C11" s="7" t="s">
        <v>163</v>
      </c>
      <c r="D11" s="14" t="s">
        <v>16</v>
      </c>
      <c r="E11" s="14" t="s">
        <v>831</v>
      </c>
      <c r="F11" s="8" t="s">
        <v>29</v>
      </c>
      <c r="G11" s="132">
        <v>2.25</v>
      </c>
      <c r="H11" s="133">
        <v>1</v>
      </c>
      <c r="I11" s="133">
        <v>1</v>
      </c>
      <c r="J11" s="134">
        <f>365/7</f>
        <v>52.142857142857146</v>
      </c>
      <c r="K11" s="132">
        <f t="shared" si="0"/>
        <v>4.3150684931506846E-2</v>
      </c>
      <c r="L11" s="8" t="s">
        <v>832</v>
      </c>
      <c r="M11" s="8" t="s">
        <v>833</v>
      </c>
    </row>
    <row r="12" spans="1:13" x14ac:dyDescent="0.25">
      <c r="A12" s="7" t="s">
        <v>17</v>
      </c>
      <c r="B12" s="17">
        <v>6.1</v>
      </c>
      <c r="C12" s="7" t="s">
        <v>163</v>
      </c>
      <c r="D12" s="14" t="s">
        <v>16</v>
      </c>
      <c r="E12" s="14" t="s">
        <v>24</v>
      </c>
      <c r="F12" s="7" t="s">
        <v>22</v>
      </c>
      <c r="G12" s="132">
        <v>4</v>
      </c>
      <c r="H12" s="133">
        <v>10</v>
      </c>
      <c r="I12" s="133">
        <v>1</v>
      </c>
      <c r="J12" s="134">
        <f>365/7</f>
        <v>52.142857142857146</v>
      </c>
      <c r="K12" s="132">
        <f t="shared" si="0"/>
        <v>7.6712328767123278E-2</v>
      </c>
      <c r="L12" s="8" t="s">
        <v>834</v>
      </c>
      <c r="M12" s="44" t="s">
        <v>31</v>
      </c>
    </row>
    <row r="13" spans="1:13" x14ac:dyDescent="0.25">
      <c r="A13" s="7" t="s">
        <v>17</v>
      </c>
      <c r="B13" s="17">
        <v>6.1</v>
      </c>
      <c r="C13" s="7" t="s">
        <v>163</v>
      </c>
      <c r="D13" s="14" t="s">
        <v>16</v>
      </c>
      <c r="E13" s="14" t="s">
        <v>835</v>
      </c>
      <c r="F13" s="8" t="s">
        <v>29</v>
      </c>
      <c r="G13" s="132">
        <v>4.5</v>
      </c>
      <c r="H13" s="133">
        <v>1</v>
      </c>
      <c r="I13" s="133">
        <v>1</v>
      </c>
      <c r="J13" s="134">
        <f>365/84*6</f>
        <v>26.071428571428569</v>
      </c>
      <c r="K13" s="132">
        <f t="shared" si="0"/>
        <v>0.17260273972602741</v>
      </c>
      <c r="L13" s="8" t="s">
        <v>836</v>
      </c>
      <c r="M13" s="8" t="s">
        <v>837</v>
      </c>
    </row>
    <row r="14" spans="1:13" ht="22.5" x14ac:dyDescent="0.25">
      <c r="A14" s="7" t="s">
        <v>17</v>
      </c>
      <c r="B14" s="17">
        <v>6.1</v>
      </c>
      <c r="C14" s="7" t="s">
        <v>163</v>
      </c>
      <c r="D14" s="14" t="s">
        <v>16</v>
      </c>
      <c r="E14" s="14" t="s">
        <v>838</v>
      </c>
      <c r="F14" s="8" t="s">
        <v>29</v>
      </c>
      <c r="G14" s="132">
        <v>4.5</v>
      </c>
      <c r="H14" s="133">
        <v>1</v>
      </c>
      <c r="I14" s="133">
        <v>1</v>
      </c>
      <c r="J14" s="134">
        <f>365/84</f>
        <v>4.3452380952380949</v>
      </c>
      <c r="K14" s="132">
        <f t="shared" si="0"/>
        <v>1.0356164383561646</v>
      </c>
      <c r="L14" s="8" t="s">
        <v>839</v>
      </c>
      <c r="M14" s="8" t="s">
        <v>840</v>
      </c>
    </row>
    <row r="15" spans="1:13" ht="33.75" x14ac:dyDescent="0.25">
      <c r="A15" s="7" t="s">
        <v>17</v>
      </c>
      <c r="B15" s="17">
        <v>6.1</v>
      </c>
      <c r="C15" s="7" t="s">
        <v>163</v>
      </c>
      <c r="D15" s="14" t="s">
        <v>16</v>
      </c>
      <c r="E15" s="7" t="s">
        <v>25</v>
      </c>
      <c r="F15" s="7" t="s">
        <v>29</v>
      </c>
      <c r="G15" s="133">
        <v>1.1499999999999999</v>
      </c>
      <c r="H15" s="133">
        <v>40</v>
      </c>
      <c r="I15" s="133">
        <v>1</v>
      </c>
      <c r="J15" s="134">
        <f>365/7*5</f>
        <v>260.71428571428572</v>
      </c>
      <c r="K15" s="132">
        <f>G15*I15/J15</f>
        <v>4.4109589041095888E-3</v>
      </c>
      <c r="L15" s="8" t="s">
        <v>842</v>
      </c>
      <c r="M15" s="8" t="s">
        <v>32</v>
      </c>
    </row>
    <row r="16" spans="1:13" x14ac:dyDescent="0.25">
      <c r="A16" s="7" t="s">
        <v>17</v>
      </c>
      <c r="B16" s="14">
        <v>6.1</v>
      </c>
      <c r="C16" s="17" t="s">
        <v>163</v>
      </c>
      <c r="D16" s="15" t="s">
        <v>16</v>
      </c>
      <c r="E16" s="8" t="s">
        <v>26</v>
      </c>
      <c r="F16" s="7" t="s">
        <v>29</v>
      </c>
      <c r="G16" s="133">
        <v>3.25</v>
      </c>
      <c r="H16" s="133">
        <v>1</v>
      </c>
      <c r="I16" s="126">
        <v>1</v>
      </c>
      <c r="J16" s="124">
        <f>365/7</f>
        <v>52.142857142857146</v>
      </c>
      <c r="K16" s="125">
        <f>G16*I16/J16</f>
        <v>6.2328767123287665E-2</v>
      </c>
      <c r="L16" s="16" t="s">
        <v>841</v>
      </c>
      <c r="M16" s="8" t="s">
        <v>33</v>
      </c>
    </row>
    <row r="17" spans="1:13" ht="112.5" x14ac:dyDescent="0.25">
      <c r="A17" s="7" t="s">
        <v>17</v>
      </c>
      <c r="B17" s="14">
        <v>6.1</v>
      </c>
      <c r="C17" s="17" t="s">
        <v>163</v>
      </c>
      <c r="D17" s="14" t="s">
        <v>16</v>
      </c>
      <c r="E17" s="14" t="s">
        <v>27</v>
      </c>
      <c r="F17" s="7" t="s">
        <v>28</v>
      </c>
      <c r="G17" s="132">
        <v>9</v>
      </c>
      <c r="H17" s="133">
        <v>1</v>
      </c>
      <c r="I17" s="133">
        <v>1</v>
      </c>
      <c r="J17" s="134">
        <f>365/7*2</f>
        <v>104.28571428571429</v>
      </c>
      <c r="K17" s="132">
        <f>G17*I17/J17</f>
        <v>8.6301369863013691E-2</v>
      </c>
      <c r="L17" s="8" t="s">
        <v>849</v>
      </c>
      <c r="M17" s="8" t="s">
        <v>34</v>
      </c>
    </row>
    <row r="18" spans="1:13" ht="33.75" x14ac:dyDescent="0.25">
      <c r="A18" s="7" t="s">
        <v>17</v>
      </c>
      <c r="B18" s="17">
        <v>6.1</v>
      </c>
      <c r="C18" s="7" t="s">
        <v>163</v>
      </c>
      <c r="D18" s="14" t="s">
        <v>16</v>
      </c>
      <c r="E18" s="14" t="s">
        <v>843</v>
      </c>
      <c r="F18" s="8" t="s">
        <v>665</v>
      </c>
      <c r="G18" s="132">
        <v>3.99</v>
      </c>
      <c r="H18" s="133">
        <v>1</v>
      </c>
      <c r="I18" s="133">
        <v>1</v>
      </c>
      <c r="J18" s="134">
        <f>365/7*10</f>
        <v>521.42857142857144</v>
      </c>
      <c r="K18" s="132">
        <f>G18*I18/J18</f>
        <v>7.6520547945205485E-3</v>
      </c>
      <c r="L18" s="8" t="s">
        <v>844</v>
      </c>
      <c r="M18" s="35" t="s">
        <v>845</v>
      </c>
    </row>
    <row r="19" spans="1:13" x14ac:dyDescent="0.25">
      <c r="A19" s="14" t="s">
        <v>17</v>
      </c>
      <c r="B19" s="17">
        <v>6.1</v>
      </c>
      <c r="C19" s="7" t="s">
        <v>163</v>
      </c>
      <c r="D19" s="14" t="s">
        <v>16</v>
      </c>
      <c r="E19" s="14" t="s">
        <v>35</v>
      </c>
      <c r="F19" s="8" t="s">
        <v>37</v>
      </c>
      <c r="G19" s="132">
        <v>9.2899999999999991</v>
      </c>
      <c r="H19" s="133">
        <v>5</v>
      </c>
      <c r="I19" s="133">
        <v>1</v>
      </c>
      <c r="J19" s="134">
        <v>5</v>
      </c>
      <c r="K19" s="129">
        <f>G19*I19/J19</f>
        <v>1.8579999999999999</v>
      </c>
      <c r="L19" s="8" t="s">
        <v>39</v>
      </c>
      <c r="M19" s="63" t="s">
        <v>38</v>
      </c>
    </row>
    <row r="21" spans="1:13" x14ac:dyDescent="0.25">
      <c r="A21" s="7"/>
      <c r="B21" s="17"/>
      <c r="C21" s="7"/>
      <c r="D21" s="14"/>
      <c r="E21" s="15"/>
      <c r="F21" s="15"/>
      <c r="G21" s="16"/>
      <c r="H21" s="115"/>
      <c r="I21" s="17"/>
      <c r="J21" s="17"/>
      <c r="K21" s="25"/>
      <c r="L21" s="8"/>
      <c r="M21" s="18"/>
    </row>
    <row r="22" spans="1:13" ht="22.5" x14ac:dyDescent="0.25">
      <c r="A22" s="7"/>
      <c r="B22" s="17"/>
      <c r="C22" s="7"/>
      <c r="D22" s="14"/>
      <c r="E22" s="4" t="s">
        <v>1207</v>
      </c>
      <c r="F22" s="49">
        <f>SUM(K5:K19)</f>
        <v>10.747597260273976</v>
      </c>
      <c r="G22" s="88"/>
      <c r="H22" s="17"/>
      <c r="I22" s="17"/>
      <c r="J22" s="17"/>
      <c r="K22" s="25"/>
      <c r="L22" s="8"/>
      <c r="M22" s="64"/>
    </row>
    <row r="23" spans="1:13" x14ac:dyDescent="0.25">
      <c r="A23" s="7"/>
      <c r="B23" s="17"/>
      <c r="C23" s="7"/>
      <c r="D23" s="14"/>
      <c r="E23" s="14"/>
      <c r="F23" s="51"/>
      <c r="G23" s="88"/>
      <c r="H23" s="17"/>
      <c r="I23" s="17"/>
      <c r="J23" s="17"/>
      <c r="K23" s="17"/>
      <c r="L23" s="8"/>
      <c r="M23" s="8"/>
    </row>
    <row r="24" spans="1:13" x14ac:dyDescent="0.25">
      <c r="A24" s="7"/>
      <c r="B24" s="17"/>
      <c r="C24" s="7"/>
      <c r="D24" s="14"/>
      <c r="E24" s="14"/>
      <c r="F24" s="8"/>
      <c r="G24" s="88"/>
      <c r="H24" s="17"/>
      <c r="I24" s="17"/>
      <c r="J24" s="17"/>
      <c r="K24" s="17"/>
      <c r="L24" s="8"/>
      <c r="M24" s="8"/>
    </row>
    <row r="25" spans="1:13" x14ac:dyDescent="0.25">
      <c r="A25" s="7"/>
      <c r="B25" s="17"/>
      <c r="C25" s="7"/>
      <c r="D25" s="14"/>
      <c r="E25" s="14"/>
      <c r="F25" s="8"/>
      <c r="G25" s="88"/>
      <c r="H25" s="17"/>
      <c r="I25" s="17"/>
      <c r="J25" s="17"/>
      <c r="K25" s="17"/>
      <c r="L25" s="8"/>
      <c r="M25" s="50"/>
    </row>
    <row r="26" spans="1:13" x14ac:dyDescent="0.25">
      <c r="A26" s="7"/>
      <c r="B26" s="17"/>
      <c r="C26" s="7"/>
      <c r="D26" s="14"/>
      <c r="E26" s="14"/>
      <c r="F26" s="7"/>
      <c r="G26" s="88"/>
      <c r="H26" s="17"/>
      <c r="I26" s="17"/>
      <c r="J26" s="17"/>
      <c r="K26" s="88"/>
      <c r="L26" s="8"/>
      <c r="M26" s="8"/>
    </row>
    <row r="27" spans="1:13" x14ac:dyDescent="0.25">
      <c r="A27" s="7"/>
      <c r="B27" s="17"/>
      <c r="C27" s="7"/>
      <c r="D27" s="14"/>
      <c r="E27" s="7"/>
      <c r="F27" s="7"/>
      <c r="G27" s="17"/>
      <c r="H27" s="17"/>
      <c r="I27" s="17"/>
      <c r="J27" s="17"/>
      <c r="K27" s="88"/>
      <c r="L27" s="8"/>
      <c r="M27" s="8"/>
    </row>
    <row r="28" spans="1:13" x14ac:dyDescent="0.25">
      <c r="A28" s="7"/>
      <c r="B28" s="17"/>
      <c r="C28" s="7"/>
      <c r="D28" s="14"/>
      <c r="E28" s="14"/>
      <c r="F28" s="7"/>
      <c r="G28" s="88"/>
      <c r="H28" s="17"/>
      <c r="I28" s="17"/>
      <c r="J28" s="17"/>
      <c r="K28" s="88"/>
      <c r="L28" s="8"/>
      <c r="M28" s="8"/>
    </row>
    <row r="29" spans="1:13" x14ac:dyDescent="0.25">
      <c r="A29" s="7"/>
      <c r="B29" s="17"/>
      <c r="C29" s="7"/>
      <c r="D29" s="14"/>
      <c r="E29" s="14"/>
      <c r="F29" s="8"/>
      <c r="G29" s="88"/>
      <c r="H29" s="17"/>
      <c r="I29" s="17"/>
      <c r="J29" s="17"/>
      <c r="K29" s="88"/>
      <c r="L29" s="8"/>
      <c r="M29" s="8"/>
    </row>
    <row r="30" spans="1:13" x14ac:dyDescent="0.25">
      <c r="A30" s="7"/>
      <c r="B30" s="17"/>
      <c r="C30" s="7"/>
      <c r="D30" s="14"/>
      <c r="E30" s="14"/>
      <c r="F30" s="7"/>
      <c r="G30" s="88"/>
      <c r="H30" s="17"/>
      <c r="I30" s="17"/>
      <c r="J30" s="17"/>
      <c r="K30" s="88"/>
      <c r="L30" s="8"/>
      <c r="M30" s="44"/>
    </row>
    <row r="31" spans="1:13" x14ac:dyDescent="0.25">
      <c r="A31" s="7"/>
      <c r="B31" s="17"/>
      <c r="C31" s="7"/>
      <c r="D31" s="14"/>
      <c r="E31" s="14"/>
      <c r="F31" s="8"/>
      <c r="G31" s="88"/>
      <c r="H31" s="17"/>
      <c r="I31" s="17"/>
      <c r="J31" s="17"/>
      <c r="K31" s="88"/>
      <c r="L31" s="8"/>
      <c r="M31" s="8"/>
    </row>
    <row r="32" spans="1:13" x14ac:dyDescent="0.25">
      <c r="A32" s="7"/>
      <c r="B32" s="17"/>
      <c r="C32" s="7"/>
      <c r="D32" s="14"/>
      <c r="E32" s="14"/>
      <c r="F32" s="8"/>
      <c r="G32" s="88"/>
      <c r="H32" s="17"/>
      <c r="I32" s="17"/>
      <c r="J32" s="17"/>
      <c r="K32" s="88"/>
      <c r="L32" s="8"/>
      <c r="M32" s="8"/>
    </row>
    <row r="33" spans="1:13" x14ac:dyDescent="0.25">
      <c r="A33" s="14"/>
      <c r="B33" s="17"/>
      <c r="C33" s="7"/>
      <c r="D33" s="24"/>
      <c r="E33" s="8"/>
      <c r="F33" s="7"/>
      <c r="G33" s="17"/>
      <c r="H33" s="17"/>
      <c r="I33" s="24"/>
      <c r="J33" s="24"/>
      <c r="K33" s="25"/>
      <c r="L33" s="25"/>
      <c r="M33" s="8"/>
    </row>
    <row r="34" spans="1:13" x14ac:dyDescent="0.25">
      <c r="A34" s="7"/>
      <c r="B34" s="17"/>
      <c r="C34" s="7"/>
      <c r="D34" s="14"/>
      <c r="E34" s="14"/>
      <c r="F34" s="8"/>
      <c r="G34" s="88"/>
      <c r="H34" s="17"/>
      <c r="I34" s="17"/>
      <c r="J34" s="17"/>
      <c r="K34" s="88"/>
      <c r="L34" s="8"/>
      <c r="M34" s="35"/>
    </row>
    <row r="35" spans="1:13" x14ac:dyDescent="0.25">
      <c r="A35" s="14"/>
      <c r="B35" s="17"/>
      <c r="C35" s="7"/>
      <c r="D35" s="14"/>
      <c r="E35" s="14"/>
      <c r="F35" s="8"/>
      <c r="G35" s="88"/>
      <c r="H35" s="17"/>
      <c r="I35" s="17"/>
      <c r="J35" s="120"/>
      <c r="K35" s="16"/>
      <c r="L35" s="8"/>
      <c r="M35" s="63"/>
    </row>
    <row r="36" spans="1:13" x14ac:dyDescent="0.25">
      <c r="K36" s="121"/>
    </row>
  </sheetData>
  <printOptions gridLines="1"/>
  <pageMargins left="0.70866141732283472" right="0.70866141732283472" top="0.74803149606299213" bottom="0.74803149606299213" header="0.31496062992125984" footer="0.31496062992125984"/>
  <pageSetup paperSize="9"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E9756-DC4F-4D37-8792-B51A61E45F1F}">
  <sheetPr>
    <pageSetUpPr fitToPage="1"/>
  </sheetPr>
  <dimension ref="A1:N9"/>
  <sheetViews>
    <sheetView view="pageBreakPreview" zoomScale="60" zoomScaleNormal="115" workbookViewId="0">
      <selection activeCell="Q27" sqref="Q27"/>
    </sheetView>
  </sheetViews>
  <sheetFormatPr defaultRowHeight="15" x14ac:dyDescent="0.25"/>
  <cols>
    <col min="1" max="1" width="5.140625" customWidth="1"/>
    <col min="2" max="2" width="6.42578125" customWidth="1"/>
    <col min="3" max="3" width="5.7109375" customWidth="1"/>
    <col min="4" max="4" width="14.42578125" customWidth="1"/>
    <col min="5" max="5" width="8" customWidth="1"/>
    <col min="6" max="6" width="10" customWidth="1"/>
    <col min="7" max="7" width="6.5703125" style="117" customWidth="1"/>
    <col min="8" max="8" width="6.42578125" style="117" customWidth="1"/>
    <col min="9" max="9" width="7.140625" style="117" customWidth="1"/>
    <col min="10" max="10" width="7.42578125" style="117" customWidth="1"/>
    <col min="11" max="11" width="6.42578125" style="117" customWidth="1"/>
    <col min="12" max="12" width="25.42578125" customWidth="1"/>
    <col min="13" max="13" width="20.42578125" customWidth="1"/>
  </cols>
  <sheetData>
    <row r="1" spans="1:14" x14ac:dyDescent="0.25">
      <c r="A1" s="26" t="s">
        <v>0</v>
      </c>
      <c r="B1" s="26"/>
      <c r="K1" s="122"/>
      <c r="L1" s="102"/>
      <c r="M1" s="102"/>
    </row>
    <row r="2" spans="1:14" x14ac:dyDescent="0.25">
      <c r="A2" s="26" t="s">
        <v>750</v>
      </c>
      <c r="B2" s="26"/>
      <c r="N2" s="103"/>
    </row>
    <row r="3" spans="1:14" ht="45" x14ac:dyDescent="0.25">
      <c r="A3" s="11" t="s">
        <v>1</v>
      </c>
      <c r="B3" s="11" t="s">
        <v>2</v>
      </c>
      <c r="C3" s="11" t="s">
        <v>3</v>
      </c>
      <c r="D3" s="12" t="s">
        <v>4</v>
      </c>
      <c r="E3" s="12" t="s">
        <v>5</v>
      </c>
      <c r="F3" s="12" t="s">
        <v>7</v>
      </c>
      <c r="G3" s="13" t="s">
        <v>8</v>
      </c>
      <c r="H3" s="13" t="s">
        <v>9</v>
      </c>
      <c r="I3" s="12" t="s">
        <v>10</v>
      </c>
      <c r="J3" s="12" t="s">
        <v>11</v>
      </c>
      <c r="K3" s="13" t="s">
        <v>54</v>
      </c>
      <c r="L3" s="13" t="s">
        <v>13</v>
      </c>
      <c r="M3" s="12" t="s">
        <v>14</v>
      </c>
    </row>
    <row r="4" spans="1:14" ht="26.25" customHeight="1" x14ac:dyDescent="0.25">
      <c r="A4" s="17" t="s">
        <v>754</v>
      </c>
      <c r="B4" s="17">
        <v>7.3</v>
      </c>
      <c r="C4" s="17" t="s">
        <v>163</v>
      </c>
      <c r="D4" s="8" t="s">
        <v>756</v>
      </c>
      <c r="E4" s="17" t="s">
        <v>752</v>
      </c>
      <c r="F4" s="17"/>
      <c r="G4" s="132">
        <v>10</v>
      </c>
      <c r="H4" s="133">
        <v>1</v>
      </c>
      <c r="I4" s="133">
        <v>1</v>
      </c>
      <c r="J4" s="134">
        <v>1</v>
      </c>
      <c r="K4" s="132">
        <f>G4*I4/J4</f>
        <v>10</v>
      </c>
      <c r="L4" s="14" t="s">
        <v>755</v>
      </c>
      <c r="M4" s="17"/>
    </row>
    <row r="5" spans="1:14" ht="27" customHeight="1" x14ac:dyDescent="0.25">
      <c r="A5" s="17" t="s">
        <v>754</v>
      </c>
      <c r="B5" s="17">
        <v>7.3</v>
      </c>
      <c r="C5" s="17" t="s">
        <v>163</v>
      </c>
      <c r="D5" s="8" t="s">
        <v>756</v>
      </c>
      <c r="E5" s="14" t="s">
        <v>753</v>
      </c>
      <c r="F5" s="17"/>
      <c r="G5" s="132">
        <v>100</v>
      </c>
      <c r="H5" s="133">
        <v>1</v>
      </c>
      <c r="I5" s="133">
        <v>1</v>
      </c>
      <c r="J5" s="134">
        <v>52.142857142857146</v>
      </c>
      <c r="K5" s="129">
        <f>G5*I5/J5</f>
        <v>1.9178082191780821</v>
      </c>
      <c r="L5" s="14" t="s">
        <v>757</v>
      </c>
      <c r="M5" s="14"/>
    </row>
    <row r="6" spans="1:14" ht="25.5" customHeight="1" x14ac:dyDescent="0.25">
      <c r="A6" s="17" t="s">
        <v>754</v>
      </c>
      <c r="B6" s="17">
        <v>7.3</v>
      </c>
      <c r="C6" s="17" t="s">
        <v>163</v>
      </c>
      <c r="D6" s="8" t="s">
        <v>756</v>
      </c>
      <c r="E6" s="24" t="s">
        <v>758</v>
      </c>
      <c r="F6" s="54"/>
      <c r="G6" s="177"/>
      <c r="H6" s="177"/>
      <c r="I6" s="178"/>
      <c r="J6" s="179"/>
      <c r="K6" s="177"/>
      <c r="L6" s="25" t="s">
        <v>759</v>
      </c>
      <c r="M6" s="54"/>
    </row>
    <row r="7" spans="1:14" ht="26.25" customHeight="1" x14ac:dyDescent="0.25">
      <c r="A7" s="17" t="s">
        <v>754</v>
      </c>
      <c r="B7" s="17">
        <v>7.3</v>
      </c>
      <c r="C7" s="17" t="s">
        <v>163</v>
      </c>
      <c r="D7" s="8" t="s">
        <v>751</v>
      </c>
      <c r="E7" s="17" t="s">
        <v>760</v>
      </c>
      <c r="F7" s="17" t="s">
        <v>761</v>
      </c>
      <c r="G7" s="132">
        <v>70</v>
      </c>
      <c r="H7" s="133">
        <v>1</v>
      </c>
      <c r="I7" s="133">
        <v>1</v>
      </c>
      <c r="J7" s="134">
        <f>365/7*3</f>
        <v>156.42857142857144</v>
      </c>
      <c r="K7" s="132">
        <f>G7*I7/J7</f>
        <v>0.44748858447488582</v>
      </c>
      <c r="L7" s="14" t="s">
        <v>762</v>
      </c>
      <c r="M7" s="17" t="s">
        <v>763</v>
      </c>
    </row>
    <row r="9" spans="1:14" ht="23.25" x14ac:dyDescent="0.25">
      <c r="D9" s="150" t="s">
        <v>1210</v>
      </c>
      <c r="E9" s="90">
        <f>SUM(K4:K7)</f>
        <v>12.365296803652969</v>
      </c>
    </row>
  </sheetData>
  <printOptions gridLines="1"/>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DD103-0CBD-4A32-8621-44ECDF31BD9D}">
  <sheetPr>
    <pageSetUpPr fitToPage="1"/>
  </sheetPr>
  <dimension ref="A1:N15"/>
  <sheetViews>
    <sheetView view="pageBreakPreview" zoomScale="115" zoomScaleNormal="80" zoomScaleSheetLayoutView="115" workbookViewId="0">
      <selection activeCell="Q27" sqref="Q27"/>
    </sheetView>
  </sheetViews>
  <sheetFormatPr defaultRowHeight="15" x14ac:dyDescent="0.25"/>
  <cols>
    <col min="1" max="1" width="5.85546875" customWidth="1"/>
    <col min="2" max="2" width="6.7109375" customWidth="1"/>
    <col min="3" max="3" width="5.85546875" customWidth="1"/>
    <col min="4" max="4" width="17.85546875" customWidth="1"/>
    <col min="5" max="5" width="11.7109375" customWidth="1"/>
    <col min="6" max="6" width="7.42578125" customWidth="1"/>
    <col min="7" max="7" width="6.28515625" style="117" customWidth="1"/>
    <col min="8" max="8" width="6.42578125" style="117" customWidth="1"/>
    <col min="9" max="9" width="7.140625" style="117" customWidth="1"/>
    <col min="10" max="10" width="7.5703125" style="117" customWidth="1"/>
    <col min="11" max="11" width="6.85546875" style="117" customWidth="1"/>
    <col min="12" max="12" width="31.7109375" customWidth="1"/>
    <col min="13" max="13" width="31" customWidth="1"/>
    <col min="14" max="14" width="27.5703125" customWidth="1"/>
  </cols>
  <sheetData>
    <row r="1" spans="1:14" x14ac:dyDescent="0.25">
      <c r="A1" s="26" t="s">
        <v>0</v>
      </c>
      <c r="B1" s="55"/>
      <c r="C1" s="17"/>
      <c r="D1" s="17"/>
    </row>
    <row r="2" spans="1:14" x14ac:dyDescent="0.25">
      <c r="A2" s="26" t="s">
        <v>764</v>
      </c>
      <c r="B2" s="55"/>
      <c r="C2" s="26"/>
      <c r="D2" s="4"/>
    </row>
    <row r="3" spans="1:14" x14ac:dyDescent="0.25">
      <c r="A3" s="21" t="s">
        <v>1177</v>
      </c>
      <c r="B3" s="56"/>
      <c r="C3" s="15"/>
      <c r="D3" s="15"/>
    </row>
    <row r="4" spans="1:14" ht="33.75" x14ac:dyDescent="0.25">
      <c r="A4" s="12" t="s">
        <v>1</v>
      </c>
      <c r="B4" s="12" t="s">
        <v>2</v>
      </c>
      <c r="C4" s="12" t="s">
        <v>3</v>
      </c>
      <c r="D4" s="12" t="s">
        <v>4</v>
      </c>
      <c r="E4" s="12" t="s">
        <v>5</v>
      </c>
      <c r="F4" s="12" t="s">
        <v>7</v>
      </c>
      <c r="G4" s="13" t="s">
        <v>8</v>
      </c>
      <c r="H4" s="13" t="s">
        <v>9</v>
      </c>
      <c r="I4" s="12" t="s">
        <v>10</v>
      </c>
      <c r="J4" s="12" t="s">
        <v>11</v>
      </c>
      <c r="K4" s="13" t="s">
        <v>54</v>
      </c>
      <c r="L4" s="13" t="s">
        <v>13</v>
      </c>
      <c r="M4" s="12" t="s">
        <v>14</v>
      </c>
      <c r="N4" s="100"/>
    </row>
    <row r="5" spans="1:14" ht="56.25" x14ac:dyDescent="0.25">
      <c r="A5" s="17" t="s">
        <v>765</v>
      </c>
      <c r="B5" s="17">
        <v>9.1</v>
      </c>
      <c r="C5" s="17" t="s">
        <v>163</v>
      </c>
      <c r="D5" s="8" t="s">
        <v>766</v>
      </c>
      <c r="E5" s="14" t="s">
        <v>767</v>
      </c>
      <c r="F5" s="14" t="s">
        <v>398</v>
      </c>
      <c r="G5" s="132">
        <v>269</v>
      </c>
      <c r="H5" s="133">
        <v>1</v>
      </c>
      <c r="I5" s="133">
        <v>1</v>
      </c>
      <c r="J5" s="134">
        <f>365/7*10</f>
        <v>521.42857142857144</v>
      </c>
      <c r="K5" s="132">
        <f t="shared" ref="K5:K13" si="0">G5*I5/J5</f>
        <v>0.51589041095890409</v>
      </c>
      <c r="L5" s="14" t="s">
        <v>1143</v>
      </c>
      <c r="M5" s="14" t="s">
        <v>777</v>
      </c>
      <c r="N5" s="14"/>
    </row>
    <row r="6" spans="1:14" ht="56.25" x14ac:dyDescent="0.25">
      <c r="A6" s="17" t="s">
        <v>765</v>
      </c>
      <c r="B6" s="17">
        <v>9.1</v>
      </c>
      <c r="C6" s="17" t="s">
        <v>163</v>
      </c>
      <c r="D6" s="8" t="s">
        <v>766</v>
      </c>
      <c r="E6" s="14" t="s">
        <v>778</v>
      </c>
      <c r="F6" s="14" t="s">
        <v>203</v>
      </c>
      <c r="G6" s="132">
        <v>39.99</v>
      </c>
      <c r="H6" s="133">
        <v>1</v>
      </c>
      <c r="I6" s="133">
        <v>1</v>
      </c>
      <c r="J6" s="134">
        <f>365/7*10</f>
        <v>521.42857142857144</v>
      </c>
      <c r="K6" s="132">
        <f t="shared" si="0"/>
        <v>7.6693150684931502E-2</v>
      </c>
      <c r="L6" s="14" t="s">
        <v>783</v>
      </c>
      <c r="M6" s="57" t="s">
        <v>779</v>
      </c>
      <c r="N6" s="14"/>
    </row>
    <row r="7" spans="1:14" ht="22.5" x14ac:dyDescent="0.25">
      <c r="A7" s="8" t="s">
        <v>765</v>
      </c>
      <c r="B7" s="14">
        <v>9.1</v>
      </c>
      <c r="C7" s="17" t="s">
        <v>163</v>
      </c>
      <c r="D7" s="8" t="s">
        <v>766</v>
      </c>
      <c r="E7" s="8" t="s">
        <v>768</v>
      </c>
      <c r="F7" s="17" t="s">
        <v>398</v>
      </c>
      <c r="G7" s="132">
        <v>249</v>
      </c>
      <c r="H7" s="133">
        <v>1</v>
      </c>
      <c r="I7" s="133">
        <v>1</v>
      </c>
      <c r="J7" s="134">
        <f>365/7*5</f>
        <v>260.71428571428572</v>
      </c>
      <c r="K7" s="125">
        <f t="shared" si="0"/>
        <v>0.95506849315068487</v>
      </c>
      <c r="L7" s="14" t="s">
        <v>784</v>
      </c>
      <c r="M7" s="14" t="s">
        <v>769</v>
      </c>
      <c r="N7" s="30"/>
    </row>
    <row r="8" spans="1:14" ht="45" x14ac:dyDescent="0.25">
      <c r="A8" s="17" t="s">
        <v>765</v>
      </c>
      <c r="B8" s="17">
        <v>9.3000000000000007</v>
      </c>
      <c r="C8" s="17" t="s">
        <v>163</v>
      </c>
      <c r="D8" s="8" t="s">
        <v>780</v>
      </c>
      <c r="E8" s="8" t="s">
        <v>771</v>
      </c>
      <c r="F8" s="14"/>
      <c r="G8" s="132">
        <v>50</v>
      </c>
      <c r="H8" s="133">
        <v>1</v>
      </c>
      <c r="I8" s="133">
        <v>1</v>
      </c>
      <c r="J8" s="134">
        <f>365/7</f>
        <v>52.142857142857146</v>
      </c>
      <c r="K8" s="132">
        <f t="shared" si="0"/>
        <v>0.95890410958904104</v>
      </c>
      <c r="L8" s="14" t="s">
        <v>785</v>
      </c>
      <c r="M8" s="14"/>
      <c r="N8" s="30"/>
    </row>
    <row r="9" spans="1:14" ht="45" x14ac:dyDescent="0.25">
      <c r="A9" s="17" t="s">
        <v>765</v>
      </c>
      <c r="B9" s="17">
        <v>9.3000000000000007</v>
      </c>
      <c r="C9" s="17" t="s">
        <v>163</v>
      </c>
      <c r="D9" s="8" t="s">
        <v>770</v>
      </c>
      <c r="E9" s="8" t="s">
        <v>771</v>
      </c>
      <c r="F9" s="14"/>
      <c r="G9" s="132">
        <v>260</v>
      </c>
      <c r="H9" s="133">
        <v>12</v>
      </c>
      <c r="I9" s="133">
        <v>1</v>
      </c>
      <c r="J9" s="134">
        <f>365/7</f>
        <v>52.142857142857146</v>
      </c>
      <c r="K9" s="132">
        <f t="shared" si="0"/>
        <v>4.9863013698630132</v>
      </c>
      <c r="L9" s="14" t="s">
        <v>1144</v>
      </c>
      <c r="M9" s="14"/>
      <c r="N9" s="14"/>
    </row>
    <row r="10" spans="1:14" ht="56.25" x14ac:dyDescent="0.25">
      <c r="A10" s="8" t="s">
        <v>765</v>
      </c>
      <c r="B10" s="14">
        <v>9.3000000000000007</v>
      </c>
      <c r="C10" s="17" t="s">
        <v>163</v>
      </c>
      <c r="D10" s="8" t="s">
        <v>772</v>
      </c>
      <c r="E10" s="8" t="s">
        <v>771</v>
      </c>
      <c r="F10" s="14"/>
      <c r="G10" s="132">
        <v>240</v>
      </c>
      <c r="H10" s="133">
        <v>12</v>
      </c>
      <c r="I10" s="133">
        <v>1</v>
      </c>
      <c r="J10" s="134">
        <f>365/7</f>
        <v>52.142857142857146</v>
      </c>
      <c r="K10" s="132">
        <f t="shared" si="0"/>
        <v>4.602739726027397</v>
      </c>
      <c r="L10" s="14" t="s">
        <v>1145</v>
      </c>
      <c r="M10" s="14"/>
      <c r="N10" s="14"/>
    </row>
    <row r="11" spans="1:14" ht="22.5" x14ac:dyDescent="0.25">
      <c r="A11" s="8" t="s">
        <v>765</v>
      </c>
      <c r="B11" s="14">
        <v>9.3000000000000007</v>
      </c>
      <c r="C11" s="17" t="s">
        <v>163</v>
      </c>
      <c r="D11" s="8" t="s">
        <v>775</v>
      </c>
      <c r="E11" s="8" t="s">
        <v>776</v>
      </c>
      <c r="F11" s="14"/>
      <c r="G11" s="132">
        <v>50</v>
      </c>
      <c r="H11" s="133">
        <v>1</v>
      </c>
      <c r="I11" s="133">
        <v>1</v>
      </c>
      <c r="J11" s="134">
        <f>365/7</f>
        <v>52.142857142857146</v>
      </c>
      <c r="K11" s="132">
        <f t="shared" si="0"/>
        <v>0.95890410958904104</v>
      </c>
      <c r="L11" s="14" t="s">
        <v>786</v>
      </c>
      <c r="M11" s="14"/>
      <c r="N11" s="14"/>
    </row>
    <row r="12" spans="1:14" ht="45" x14ac:dyDescent="0.25">
      <c r="A12" s="8" t="s">
        <v>765</v>
      </c>
      <c r="B12" s="14">
        <v>9.3000000000000007</v>
      </c>
      <c r="C12" s="17" t="s">
        <v>163</v>
      </c>
      <c r="D12" s="8" t="s">
        <v>781</v>
      </c>
      <c r="E12" s="8" t="s">
        <v>773</v>
      </c>
      <c r="F12" s="14"/>
      <c r="G12" s="132">
        <v>50</v>
      </c>
      <c r="H12" s="133">
        <v>1</v>
      </c>
      <c r="I12" s="133">
        <v>1</v>
      </c>
      <c r="J12" s="134">
        <f>365/7*10</f>
        <v>521.42857142857144</v>
      </c>
      <c r="K12" s="129">
        <f t="shared" si="0"/>
        <v>9.5890410958904104E-2</v>
      </c>
      <c r="L12" s="14" t="s">
        <v>787</v>
      </c>
      <c r="M12" s="14"/>
      <c r="N12" s="14"/>
    </row>
    <row r="13" spans="1:14" ht="22.5" x14ac:dyDescent="0.25">
      <c r="A13" s="8" t="s">
        <v>765</v>
      </c>
      <c r="B13" s="14">
        <v>9.5</v>
      </c>
      <c r="C13" s="17" t="s">
        <v>163</v>
      </c>
      <c r="D13" s="8" t="s">
        <v>782</v>
      </c>
      <c r="E13" s="8" t="s">
        <v>774</v>
      </c>
      <c r="F13" s="14"/>
      <c r="G13" s="132">
        <v>15</v>
      </c>
      <c r="H13" s="133">
        <v>1</v>
      </c>
      <c r="I13" s="133">
        <v>1</v>
      </c>
      <c r="J13" s="134">
        <f>365/7</f>
        <v>52.142857142857146</v>
      </c>
      <c r="K13" s="132">
        <f t="shared" si="0"/>
        <v>0.28767123287671231</v>
      </c>
      <c r="L13" s="14" t="s">
        <v>1178</v>
      </c>
      <c r="M13" s="14"/>
      <c r="N13" s="14"/>
    </row>
    <row r="15" spans="1:14" x14ac:dyDescent="0.25">
      <c r="D15" s="34" t="s">
        <v>1212</v>
      </c>
      <c r="E15" s="90">
        <f>SUM(K5:K13)</f>
        <v>13.438063013698631</v>
      </c>
    </row>
  </sheetData>
  <printOptions gridLines="1"/>
  <pageMargins left="0.70866141732283472" right="0.70866141732283472" top="0.74803149606299213" bottom="0.74803149606299213" header="0.31496062992125984" footer="0.31496062992125984"/>
  <pageSetup paperSize="9"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15E7E-0ECD-4FE0-99D5-B598DB63D263}">
  <sheetPr>
    <pageSetUpPr fitToPage="1"/>
  </sheetPr>
  <dimension ref="A1:M17"/>
  <sheetViews>
    <sheetView view="pageBreakPreview" zoomScaleNormal="70" zoomScaleSheetLayoutView="100" workbookViewId="0">
      <selection activeCell="Q27" sqref="Q27"/>
    </sheetView>
  </sheetViews>
  <sheetFormatPr defaultRowHeight="15" x14ac:dyDescent="0.25"/>
  <cols>
    <col min="1" max="1" width="6.42578125" customWidth="1"/>
    <col min="2" max="2" width="7" customWidth="1"/>
    <col min="3" max="3" width="6.5703125" customWidth="1"/>
    <col min="4" max="4" width="17" customWidth="1"/>
    <col min="5" max="5" width="16.42578125" customWidth="1"/>
    <col min="6" max="6" width="15.42578125" customWidth="1"/>
    <col min="7" max="7" width="7" style="117" customWidth="1"/>
    <col min="8" max="8" width="6.85546875" style="117" customWidth="1"/>
    <col min="9" max="9" width="7.140625" style="117" customWidth="1"/>
    <col min="10" max="10" width="8.140625" style="117" customWidth="1"/>
    <col min="11" max="11" width="6.85546875" style="117" customWidth="1"/>
    <col min="12" max="12" width="30.5703125" customWidth="1"/>
    <col min="13" max="13" width="31.42578125" customWidth="1"/>
  </cols>
  <sheetData>
    <row r="1" spans="1:13" x14ac:dyDescent="0.25">
      <c r="A1" s="26" t="s">
        <v>0</v>
      </c>
      <c r="B1" s="26"/>
      <c r="C1" s="26"/>
    </row>
    <row r="2" spans="1:13" s="123" customFormat="1" x14ac:dyDescent="0.25">
      <c r="A2" s="26" t="s">
        <v>764</v>
      </c>
      <c r="B2" s="26"/>
      <c r="C2" s="26"/>
      <c r="G2" s="117"/>
      <c r="H2" s="117"/>
      <c r="I2" s="117"/>
      <c r="J2" s="117"/>
      <c r="K2" s="117"/>
    </row>
    <row r="3" spans="1:13" x14ac:dyDescent="0.25">
      <c r="A3" s="128" t="s">
        <v>1177</v>
      </c>
      <c r="B3" s="26"/>
      <c r="C3" s="26"/>
    </row>
    <row r="4" spans="1:13" ht="22.5" x14ac:dyDescent="0.25">
      <c r="A4" s="12" t="s">
        <v>1</v>
      </c>
      <c r="B4" s="12" t="s">
        <v>2</v>
      </c>
      <c r="C4" s="12" t="s">
        <v>3</v>
      </c>
      <c r="D4" s="12" t="s">
        <v>4</v>
      </c>
      <c r="E4" s="12" t="s">
        <v>5</v>
      </c>
      <c r="F4" s="12" t="s">
        <v>7</v>
      </c>
      <c r="G4" s="13" t="s">
        <v>8</v>
      </c>
      <c r="H4" s="13" t="s">
        <v>9</v>
      </c>
      <c r="I4" s="12" t="s">
        <v>10</v>
      </c>
      <c r="J4" s="12" t="s">
        <v>11</v>
      </c>
      <c r="K4" s="13" t="s">
        <v>54</v>
      </c>
      <c r="L4" s="13" t="s">
        <v>13</v>
      </c>
      <c r="M4" s="12" t="s">
        <v>14</v>
      </c>
    </row>
    <row r="5" spans="1:13" ht="45" x14ac:dyDescent="0.25">
      <c r="A5" s="17" t="s">
        <v>44</v>
      </c>
      <c r="B5" s="17">
        <v>9.4</v>
      </c>
      <c r="C5" s="15" t="s">
        <v>163</v>
      </c>
      <c r="D5" s="17" t="s">
        <v>788</v>
      </c>
      <c r="E5" s="17" t="s">
        <v>788</v>
      </c>
      <c r="F5" s="17" t="s">
        <v>789</v>
      </c>
      <c r="G5" s="129">
        <v>159</v>
      </c>
      <c r="H5" s="130">
        <v>1</v>
      </c>
      <c r="I5" s="131">
        <v>1</v>
      </c>
      <c r="J5" s="131">
        <f>365/7</f>
        <v>52.142857142857146</v>
      </c>
      <c r="K5" s="132">
        <f>G5*I5/J5</f>
        <v>3.0493150684931507</v>
      </c>
      <c r="L5" s="17"/>
      <c r="M5" s="14" t="s">
        <v>790</v>
      </c>
    </row>
    <row r="6" spans="1:13" ht="78.75" x14ac:dyDescent="0.25">
      <c r="A6" s="17" t="s">
        <v>791</v>
      </c>
      <c r="B6" s="15">
        <v>8.3000000000000007</v>
      </c>
      <c r="C6" s="17" t="s">
        <v>163</v>
      </c>
      <c r="D6" s="8" t="s">
        <v>794</v>
      </c>
      <c r="E6" s="8" t="s">
        <v>792</v>
      </c>
      <c r="F6" s="8" t="s">
        <v>51</v>
      </c>
      <c r="G6" s="132">
        <v>0</v>
      </c>
      <c r="H6" s="133">
        <v>1</v>
      </c>
      <c r="I6" s="133">
        <v>1</v>
      </c>
      <c r="J6" s="134">
        <v>0</v>
      </c>
      <c r="K6" s="132">
        <v>0</v>
      </c>
      <c r="L6" s="16" t="s">
        <v>812</v>
      </c>
      <c r="M6" s="20" t="s">
        <v>793</v>
      </c>
    </row>
    <row r="7" spans="1:13" ht="56.25" x14ac:dyDescent="0.25">
      <c r="A7" s="17" t="s">
        <v>791</v>
      </c>
      <c r="B7" s="17">
        <v>9.4</v>
      </c>
      <c r="C7" s="17" t="s">
        <v>163</v>
      </c>
      <c r="D7" s="14" t="s">
        <v>795</v>
      </c>
      <c r="E7" s="8" t="s">
        <v>795</v>
      </c>
      <c r="F7" s="8" t="s">
        <v>796</v>
      </c>
      <c r="G7" s="132">
        <v>6.99</v>
      </c>
      <c r="H7" s="133">
        <v>1</v>
      </c>
      <c r="I7" s="133">
        <v>1</v>
      </c>
      <c r="J7" s="134">
        <f>365/84*1</f>
        <v>4.3452380952380949</v>
      </c>
      <c r="K7" s="132">
        <f t="shared" ref="K7:K12" si="0">G7*I7/J7</f>
        <v>1.6086575342465754</v>
      </c>
      <c r="L7" s="58" t="s">
        <v>1146</v>
      </c>
      <c r="M7" s="20" t="s">
        <v>797</v>
      </c>
    </row>
    <row r="8" spans="1:13" ht="61.5" customHeight="1" x14ac:dyDescent="0.25">
      <c r="A8" s="8" t="s">
        <v>791</v>
      </c>
      <c r="B8" s="14">
        <v>9.4</v>
      </c>
      <c r="C8" s="17" t="s">
        <v>163</v>
      </c>
      <c r="D8" s="8" t="s">
        <v>794</v>
      </c>
      <c r="E8" s="8" t="s">
        <v>798</v>
      </c>
      <c r="F8" s="14"/>
      <c r="G8" s="132">
        <v>20</v>
      </c>
      <c r="H8" s="133"/>
      <c r="I8" s="133">
        <v>1</v>
      </c>
      <c r="J8" s="134">
        <v>1</v>
      </c>
      <c r="K8" s="132">
        <f t="shared" si="0"/>
        <v>20</v>
      </c>
      <c r="L8" s="14" t="s">
        <v>813</v>
      </c>
      <c r="M8" s="14"/>
    </row>
    <row r="9" spans="1:13" ht="45" x14ac:dyDescent="0.25">
      <c r="A9" s="22" t="s">
        <v>799</v>
      </c>
      <c r="B9" s="22">
        <v>9.6</v>
      </c>
      <c r="C9" s="22" t="s">
        <v>163</v>
      </c>
      <c r="D9" s="22" t="s">
        <v>805</v>
      </c>
      <c r="E9" s="15" t="s">
        <v>805</v>
      </c>
      <c r="F9" s="15" t="s">
        <v>806</v>
      </c>
      <c r="G9" s="135">
        <v>446</v>
      </c>
      <c r="H9" s="136">
        <v>1</v>
      </c>
      <c r="I9" s="136">
        <v>1</v>
      </c>
      <c r="J9" s="137">
        <f>365/7</f>
        <v>52.142857142857146</v>
      </c>
      <c r="K9" s="132">
        <f t="shared" si="0"/>
        <v>8.5534246575342454</v>
      </c>
      <c r="L9" s="15" t="s">
        <v>807</v>
      </c>
      <c r="M9" s="24" t="s">
        <v>808</v>
      </c>
    </row>
    <row r="10" spans="1:13" ht="33.75" x14ac:dyDescent="0.25">
      <c r="A10" s="17" t="s">
        <v>799</v>
      </c>
      <c r="B10" s="17">
        <v>9.4</v>
      </c>
      <c r="C10" s="17" t="s">
        <v>163</v>
      </c>
      <c r="D10" s="8" t="s">
        <v>800</v>
      </c>
      <c r="E10" s="8" t="s">
        <v>801</v>
      </c>
      <c r="F10" s="14"/>
      <c r="G10" s="132">
        <v>100</v>
      </c>
      <c r="H10" s="133"/>
      <c r="I10" s="133">
        <v>1</v>
      </c>
      <c r="J10" s="134">
        <f>365/7</f>
        <v>52.142857142857146</v>
      </c>
      <c r="K10" s="132">
        <f t="shared" si="0"/>
        <v>1.9178082191780821</v>
      </c>
      <c r="L10" s="14" t="s">
        <v>814</v>
      </c>
      <c r="M10" s="14"/>
    </row>
    <row r="11" spans="1:13" ht="22.5" x14ac:dyDescent="0.25">
      <c r="A11" s="22" t="s">
        <v>791</v>
      </c>
      <c r="B11" s="22">
        <v>12.7</v>
      </c>
      <c r="C11" s="17" t="s">
        <v>163</v>
      </c>
      <c r="D11" s="15" t="s">
        <v>802</v>
      </c>
      <c r="E11" s="17" t="s">
        <v>803</v>
      </c>
      <c r="F11" s="17"/>
      <c r="G11" s="132">
        <v>85</v>
      </c>
      <c r="H11" s="133">
        <v>1</v>
      </c>
      <c r="I11" s="133">
        <v>1</v>
      </c>
      <c r="J11" s="134">
        <f>365/7*10</f>
        <v>521.42857142857144</v>
      </c>
      <c r="K11" s="132">
        <f t="shared" si="0"/>
        <v>0.16301369863013698</v>
      </c>
      <c r="L11" s="17" t="s">
        <v>804</v>
      </c>
      <c r="M11" s="14" t="s">
        <v>809</v>
      </c>
    </row>
    <row r="12" spans="1:13" ht="22.5" x14ac:dyDescent="0.25">
      <c r="A12" s="22" t="s">
        <v>791</v>
      </c>
      <c r="B12" s="22">
        <v>12.7</v>
      </c>
      <c r="C12" s="17" t="s">
        <v>163</v>
      </c>
      <c r="D12" s="15" t="s">
        <v>802</v>
      </c>
      <c r="E12" s="22" t="s">
        <v>810</v>
      </c>
      <c r="F12" s="15" t="s">
        <v>815</v>
      </c>
      <c r="G12" s="135">
        <v>6</v>
      </c>
      <c r="H12" s="136">
        <v>6</v>
      </c>
      <c r="I12" s="136">
        <v>1</v>
      </c>
      <c r="J12" s="137">
        <f>365/7*10</f>
        <v>521.42857142857144</v>
      </c>
      <c r="K12" s="132">
        <f t="shared" si="0"/>
        <v>1.1506849315068493E-2</v>
      </c>
      <c r="L12" s="15" t="s">
        <v>816</v>
      </c>
      <c r="M12" s="15" t="s">
        <v>811</v>
      </c>
    </row>
    <row r="14" spans="1:13" ht="23.1" customHeight="1" x14ac:dyDescent="0.25">
      <c r="D14" s="4" t="s">
        <v>1214</v>
      </c>
      <c r="E14" s="158">
        <f>SUM(K6+K7+K8+K11+K12)</f>
        <v>21.783178082191782</v>
      </c>
    </row>
    <row r="15" spans="1:13" ht="23.1" customHeight="1" x14ac:dyDescent="0.25">
      <c r="D15" s="87" t="s">
        <v>1215</v>
      </c>
      <c r="E15" s="158">
        <f>K5</f>
        <v>3.0493150684931507</v>
      </c>
    </row>
    <row r="16" spans="1:13" ht="18.95" customHeight="1" x14ac:dyDescent="0.25">
      <c r="D16" s="87" t="s">
        <v>1216</v>
      </c>
      <c r="E16" s="156">
        <v>0</v>
      </c>
    </row>
    <row r="17" spans="4:5" ht="18" customHeight="1" x14ac:dyDescent="0.25">
      <c r="D17" s="87" t="s">
        <v>1217</v>
      </c>
      <c r="E17" s="158">
        <f>SUM(K9:K10)</f>
        <v>10.471232876712328</v>
      </c>
    </row>
  </sheetData>
  <printOptions gridLines="1"/>
  <pageMargins left="0.70866141732283472" right="0.70866141732283472" top="0.74803149606299213" bottom="0.74803149606299213" header="0.31496062992125984" footer="0.31496062992125984"/>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721FA-AA50-45BA-ABF4-0C812EC319C6}">
  <dimension ref="A1:Q193"/>
  <sheetViews>
    <sheetView view="pageBreakPreview" topLeftCell="A73" zoomScaleNormal="100" zoomScaleSheetLayoutView="100" workbookViewId="0">
      <selection activeCell="Q27" sqref="Q27"/>
    </sheetView>
  </sheetViews>
  <sheetFormatPr defaultColWidth="8.7109375" defaultRowHeight="15" x14ac:dyDescent="0.25"/>
  <cols>
    <col min="1" max="1" width="5.42578125" style="84" customWidth="1"/>
    <col min="2" max="2" width="7" style="84" customWidth="1"/>
    <col min="3" max="3" width="6.42578125" style="84" customWidth="1"/>
    <col min="4" max="4" width="19.7109375" style="85" customWidth="1"/>
    <col min="5" max="5" width="12" style="84" customWidth="1"/>
    <col min="6" max="6" width="9.85546875" style="84" customWidth="1"/>
    <col min="7" max="7" width="6.42578125" style="84" customWidth="1"/>
    <col min="8" max="8" width="6.7109375" style="84" customWidth="1"/>
    <col min="9" max="9" width="8" style="84" customWidth="1"/>
    <col min="10" max="10" width="8.42578125" style="84" customWidth="1"/>
    <col min="11" max="11" width="7.140625" style="84" customWidth="1"/>
    <col min="12" max="12" width="22.140625" style="84" customWidth="1"/>
    <col min="13" max="13" width="29.28515625" style="85" customWidth="1"/>
    <col min="15" max="15" width="9.5703125" bestFit="1" customWidth="1"/>
    <col min="16" max="16" width="10.42578125" bestFit="1" customWidth="1"/>
    <col min="18" max="16384" width="8.7109375" style="78"/>
  </cols>
  <sheetData>
    <row r="1" spans="1:17" s="106" customFormat="1" x14ac:dyDescent="0.25">
      <c r="A1" s="154" t="s">
        <v>1175</v>
      </c>
      <c r="B1" s="154"/>
      <c r="C1" s="154"/>
      <c r="D1" s="155"/>
      <c r="E1" s="154"/>
      <c r="F1" s="104"/>
      <c r="G1" s="104"/>
      <c r="H1" s="104"/>
      <c r="I1" s="104"/>
      <c r="J1" s="104"/>
      <c r="K1" s="104"/>
      <c r="L1" s="104"/>
      <c r="M1" s="105"/>
      <c r="N1" s="80"/>
      <c r="O1" s="80"/>
      <c r="P1" s="80"/>
      <c r="Q1" s="80"/>
    </row>
    <row r="2" spans="1:17" s="106" customFormat="1" x14ac:dyDescent="0.25">
      <c r="A2" s="154" t="s">
        <v>1176</v>
      </c>
      <c r="B2" s="154"/>
      <c r="C2" s="154"/>
      <c r="D2" s="155"/>
      <c r="E2" s="154"/>
      <c r="F2" s="104"/>
      <c r="G2" s="104"/>
      <c r="H2" s="104"/>
      <c r="I2" s="104"/>
      <c r="J2" s="104"/>
      <c r="K2" s="104"/>
      <c r="L2" s="104"/>
      <c r="M2" s="105"/>
      <c r="N2" s="80"/>
      <c r="O2" s="80"/>
      <c r="P2" s="80"/>
      <c r="Q2" s="80"/>
    </row>
    <row r="3" spans="1:17" s="106" customFormat="1" x14ac:dyDescent="0.25">
      <c r="A3" s="154" t="s">
        <v>1177</v>
      </c>
      <c r="B3" s="154"/>
      <c r="C3" s="154"/>
      <c r="D3" s="155"/>
      <c r="E3" s="154"/>
      <c r="F3" s="104"/>
      <c r="G3" s="104"/>
      <c r="H3" s="104"/>
      <c r="I3" s="104"/>
      <c r="J3" s="104"/>
      <c r="K3" s="104"/>
      <c r="L3" s="104"/>
      <c r="M3" s="105"/>
      <c r="N3" s="80"/>
      <c r="O3" s="80"/>
      <c r="P3" s="80"/>
      <c r="Q3" s="80"/>
    </row>
    <row r="4" spans="1:17" ht="22.5" x14ac:dyDescent="0.25">
      <c r="A4" s="11" t="s">
        <v>1</v>
      </c>
      <c r="B4" s="11" t="s">
        <v>2</v>
      </c>
      <c r="C4" s="11" t="s">
        <v>3</v>
      </c>
      <c r="D4" s="11" t="s">
        <v>5</v>
      </c>
      <c r="E4" s="11" t="s">
        <v>6</v>
      </c>
      <c r="F4" s="11" t="s">
        <v>7</v>
      </c>
      <c r="G4" s="86" t="s">
        <v>8</v>
      </c>
      <c r="H4" s="86" t="s">
        <v>9</v>
      </c>
      <c r="I4" s="11" t="s">
        <v>10</v>
      </c>
      <c r="J4" s="12" t="s">
        <v>11</v>
      </c>
      <c r="K4" s="86" t="s">
        <v>54</v>
      </c>
      <c r="L4" s="86" t="s">
        <v>13</v>
      </c>
      <c r="M4" s="11" t="s">
        <v>14</v>
      </c>
    </row>
    <row r="5" spans="1:17" s="69" customFormat="1" ht="22.5" x14ac:dyDescent="0.25">
      <c r="A5" s="4" t="s">
        <v>850</v>
      </c>
      <c r="B5" s="4">
        <v>1.1000000000000001</v>
      </c>
      <c r="C5" s="4" t="s">
        <v>163</v>
      </c>
      <c r="D5" s="14" t="s">
        <v>915</v>
      </c>
      <c r="E5" s="34" t="s">
        <v>29</v>
      </c>
      <c r="F5" s="34" t="s">
        <v>29</v>
      </c>
      <c r="G5" s="158">
        <v>1.1000000000000001</v>
      </c>
      <c r="H5" s="156">
        <v>80</v>
      </c>
      <c r="I5" s="156">
        <v>1</v>
      </c>
      <c r="J5" s="157">
        <f>80/21</f>
        <v>3.8095238095238093</v>
      </c>
      <c r="K5" s="162">
        <f t="shared" ref="K5:K70" si="0">G5*I5/J5</f>
        <v>0.28875000000000006</v>
      </c>
      <c r="L5" s="14" t="s">
        <v>916</v>
      </c>
      <c r="M5" s="14" t="s">
        <v>917</v>
      </c>
      <c r="N5"/>
      <c r="O5"/>
      <c r="P5"/>
      <c r="Q5"/>
    </row>
    <row r="6" spans="1:17" s="69" customFormat="1" x14ac:dyDescent="0.25">
      <c r="A6" s="4" t="s">
        <v>850</v>
      </c>
      <c r="B6" s="4">
        <v>1.1000000000000001</v>
      </c>
      <c r="C6" s="4" t="s">
        <v>163</v>
      </c>
      <c r="D6" s="14" t="s">
        <v>918</v>
      </c>
      <c r="E6" s="34" t="s">
        <v>29</v>
      </c>
      <c r="F6" s="34" t="s">
        <v>29</v>
      </c>
      <c r="G6" s="158">
        <v>3</v>
      </c>
      <c r="H6" s="156" t="s">
        <v>851</v>
      </c>
      <c r="I6" s="156">
        <v>1</v>
      </c>
      <c r="J6" s="157">
        <f>200/70</f>
        <v>2.8571428571428572</v>
      </c>
      <c r="K6" s="162">
        <f t="shared" si="0"/>
        <v>1.05</v>
      </c>
      <c r="L6" s="14" t="s">
        <v>894</v>
      </c>
      <c r="M6" s="14" t="s">
        <v>852</v>
      </c>
      <c r="N6"/>
      <c r="O6"/>
      <c r="P6"/>
      <c r="Q6"/>
    </row>
    <row r="7" spans="1:17" s="69" customFormat="1" ht="22.5" x14ac:dyDescent="0.25">
      <c r="A7" s="4" t="s">
        <v>850</v>
      </c>
      <c r="B7" s="4">
        <v>1.1000000000000001</v>
      </c>
      <c r="C7" s="4" t="s">
        <v>163</v>
      </c>
      <c r="D7" s="14" t="s">
        <v>853</v>
      </c>
      <c r="E7" s="34" t="s">
        <v>29</v>
      </c>
      <c r="F7" s="34" t="s">
        <v>29</v>
      </c>
      <c r="G7" s="158">
        <v>0.95</v>
      </c>
      <c r="H7" s="156" t="s">
        <v>919</v>
      </c>
      <c r="I7" s="156">
        <v>1</v>
      </c>
      <c r="J7" s="157">
        <v>1</v>
      </c>
      <c r="K7" s="162">
        <f t="shared" si="0"/>
        <v>0.95</v>
      </c>
      <c r="L7" s="14" t="s">
        <v>920</v>
      </c>
      <c r="M7" s="14" t="s">
        <v>921</v>
      </c>
      <c r="N7"/>
      <c r="O7"/>
      <c r="P7"/>
      <c r="Q7"/>
    </row>
    <row r="8" spans="1:17" s="69" customFormat="1" ht="22.5" x14ac:dyDescent="0.25">
      <c r="A8" s="4" t="s">
        <v>850</v>
      </c>
      <c r="B8" s="4">
        <v>1.1000000000000001</v>
      </c>
      <c r="C8" s="4" t="s">
        <v>163</v>
      </c>
      <c r="D8" s="14" t="s">
        <v>853</v>
      </c>
      <c r="E8" s="34" t="s">
        <v>29</v>
      </c>
      <c r="F8" s="34" t="s">
        <v>29</v>
      </c>
      <c r="G8" s="158">
        <v>0.6</v>
      </c>
      <c r="H8" s="156" t="s">
        <v>922</v>
      </c>
      <c r="I8" s="156">
        <v>1</v>
      </c>
      <c r="J8" s="157">
        <v>1</v>
      </c>
      <c r="K8" s="162">
        <f t="shared" si="0"/>
        <v>0.6</v>
      </c>
      <c r="L8" s="14" t="s">
        <v>920</v>
      </c>
      <c r="M8" s="14" t="s">
        <v>923</v>
      </c>
      <c r="N8"/>
      <c r="O8"/>
      <c r="P8"/>
      <c r="Q8"/>
    </row>
    <row r="9" spans="1:17" s="69" customFormat="1" ht="22.5" x14ac:dyDescent="0.25">
      <c r="A9" s="4" t="s">
        <v>850</v>
      </c>
      <c r="B9" s="4">
        <v>1.1000000000000001</v>
      </c>
      <c r="C9" s="4" t="s">
        <v>163</v>
      </c>
      <c r="D9" s="14" t="s">
        <v>924</v>
      </c>
      <c r="E9" s="34" t="s">
        <v>29</v>
      </c>
      <c r="F9" s="34" t="s">
        <v>29</v>
      </c>
      <c r="G9" s="158">
        <v>1.75</v>
      </c>
      <c r="H9" s="156" t="s">
        <v>854</v>
      </c>
      <c r="I9" s="156">
        <v>1</v>
      </c>
      <c r="J9" s="157">
        <f>1500/1155</f>
        <v>1.2987012987012987</v>
      </c>
      <c r="K9" s="162">
        <f t="shared" si="0"/>
        <v>1.3474999999999999</v>
      </c>
      <c r="L9" s="14" t="s">
        <v>925</v>
      </c>
      <c r="M9" s="14" t="s">
        <v>926</v>
      </c>
      <c r="N9"/>
      <c r="O9"/>
      <c r="P9"/>
      <c r="Q9"/>
    </row>
    <row r="10" spans="1:17" s="69" customFormat="1" ht="22.5" x14ac:dyDescent="0.25">
      <c r="A10" s="4" t="s">
        <v>850</v>
      </c>
      <c r="B10" s="4">
        <v>1.1000000000000001</v>
      </c>
      <c r="C10" s="4" t="s">
        <v>163</v>
      </c>
      <c r="D10" s="14" t="s">
        <v>857</v>
      </c>
      <c r="E10" s="34" t="s">
        <v>858</v>
      </c>
      <c r="F10" s="34" t="s">
        <v>29</v>
      </c>
      <c r="G10" s="158">
        <v>1.6</v>
      </c>
      <c r="H10" s="156">
        <v>12</v>
      </c>
      <c r="I10" s="156">
        <v>1</v>
      </c>
      <c r="J10" s="157">
        <f>12/4</f>
        <v>3</v>
      </c>
      <c r="K10" s="162">
        <f t="shared" si="0"/>
        <v>0.53333333333333333</v>
      </c>
      <c r="L10" s="14" t="s">
        <v>927</v>
      </c>
      <c r="M10" s="14" t="s">
        <v>859</v>
      </c>
      <c r="N10"/>
      <c r="O10"/>
      <c r="P10"/>
      <c r="Q10"/>
    </row>
    <row r="11" spans="1:17" s="69" customFormat="1" ht="22.5" x14ac:dyDescent="0.25">
      <c r="A11" s="4" t="s">
        <v>850</v>
      </c>
      <c r="B11" s="4">
        <v>1.1000000000000001</v>
      </c>
      <c r="C11" s="4" t="s">
        <v>163</v>
      </c>
      <c r="D11" s="14" t="s">
        <v>1174</v>
      </c>
      <c r="E11" s="34" t="s">
        <v>29</v>
      </c>
      <c r="F11" s="34" t="s">
        <v>29</v>
      </c>
      <c r="G11" s="158">
        <v>0.59</v>
      </c>
      <c r="H11" s="156">
        <v>18</v>
      </c>
      <c r="I11" s="156">
        <v>1</v>
      </c>
      <c r="J11" s="157">
        <f>18/16</f>
        <v>1.125</v>
      </c>
      <c r="K11" s="162">
        <f t="shared" si="0"/>
        <v>0.52444444444444438</v>
      </c>
      <c r="L11" s="14" t="s">
        <v>928</v>
      </c>
      <c r="M11" s="14" t="s">
        <v>860</v>
      </c>
      <c r="N11"/>
      <c r="O11"/>
      <c r="P11"/>
      <c r="Q11"/>
    </row>
    <row r="12" spans="1:17" s="69" customFormat="1" ht="22.5" x14ac:dyDescent="0.25">
      <c r="A12" s="4" t="s">
        <v>850</v>
      </c>
      <c r="B12" s="4">
        <v>1.1000000000000001</v>
      </c>
      <c r="C12" s="4" t="s">
        <v>163</v>
      </c>
      <c r="D12" s="14" t="s">
        <v>929</v>
      </c>
      <c r="E12" s="34" t="s">
        <v>930</v>
      </c>
      <c r="F12" s="34" t="s">
        <v>29</v>
      </c>
      <c r="G12" s="158">
        <v>1.5</v>
      </c>
      <c r="H12" s="156" t="s">
        <v>868</v>
      </c>
      <c r="I12" s="156">
        <v>1</v>
      </c>
      <c r="J12" s="157">
        <f>500/172</f>
        <v>2.9069767441860463</v>
      </c>
      <c r="K12" s="162">
        <f t="shared" si="0"/>
        <v>0.51600000000000001</v>
      </c>
      <c r="L12" s="14" t="s">
        <v>931</v>
      </c>
      <c r="M12" s="14" t="s">
        <v>932</v>
      </c>
      <c r="N12"/>
      <c r="O12"/>
      <c r="P12"/>
      <c r="Q12"/>
    </row>
    <row r="13" spans="1:17" s="69" customFormat="1" ht="33.75" x14ac:dyDescent="0.25">
      <c r="A13" s="4" t="s">
        <v>850</v>
      </c>
      <c r="B13" s="4">
        <v>1.1000000000000001</v>
      </c>
      <c r="C13" s="4" t="s">
        <v>163</v>
      </c>
      <c r="D13" s="14" t="s">
        <v>933</v>
      </c>
      <c r="E13" s="34" t="s">
        <v>29</v>
      </c>
      <c r="F13" s="34" t="s">
        <v>29</v>
      </c>
      <c r="G13" s="158">
        <v>0.9</v>
      </c>
      <c r="H13" s="156" t="s">
        <v>869</v>
      </c>
      <c r="I13" s="156">
        <v>1</v>
      </c>
      <c r="J13" s="157">
        <v>6</v>
      </c>
      <c r="K13" s="162">
        <f t="shared" si="0"/>
        <v>0.15</v>
      </c>
      <c r="L13" s="14" t="s">
        <v>889</v>
      </c>
      <c r="M13" s="14" t="s">
        <v>934</v>
      </c>
      <c r="N13"/>
      <c r="O13"/>
      <c r="P13"/>
      <c r="Q13"/>
    </row>
    <row r="14" spans="1:17" s="69" customFormat="1" ht="22.5" x14ac:dyDescent="0.25">
      <c r="A14" s="4" t="s">
        <v>850</v>
      </c>
      <c r="B14" s="4">
        <v>1.1000000000000001</v>
      </c>
      <c r="C14" s="4" t="s">
        <v>163</v>
      </c>
      <c r="D14" s="14" t="s">
        <v>935</v>
      </c>
      <c r="E14" s="34" t="s">
        <v>863</v>
      </c>
      <c r="F14" s="34" t="s">
        <v>29</v>
      </c>
      <c r="G14" s="158">
        <v>0.79</v>
      </c>
      <c r="H14" s="156">
        <v>6</v>
      </c>
      <c r="I14" s="156">
        <v>1</v>
      </c>
      <c r="J14" s="157">
        <f>6/4</f>
        <v>1.5</v>
      </c>
      <c r="K14" s="162">
        <f t="shared" si="0"/>
        <v>0.52666666666666673</v>
      </c>
      <c r="L14" s="14" t="s">
        <v>936</v>
      </c>
      <c r="M14" s="14" t="s">
        <v>937</v>
      </c>
      <c r="N14"/>
      <c r="O14"/>
      <c r="P14"/>
      <c r="Q14"/>
    </row>
    <row r="15" spans="1:17" s="69" customFormat="1" x14ac:dyDescent="0.25">
      <c r="A15" s="4" t="s">
        <v>850</v>
      </c>
      <c r="B15" s="4">
        <v>1.1000000000000001</v>
      </c>
      <c r="C15" s="4" t="s">
        <v>163</v>
      </c>
      <c r="D15" s="14" t="s">
        <v>938</v>
      </c>
      <c r="E15" s="34" t="s">
        <v>29</v>
      </c>
      <c r="F15" s="34" t="s">
        <v>29</v>
      </c>
      <c r="G15" s="158">
        <v>1.35</v>
      </c>
      <c r="H15" s="156">
        <v>6</v>
      </c>
      <c r="I15" s="156">
        <v>1</v>
      </c>
      <c r="J15" s="157">
        <v>1</v>
      </c>
      <c r="K15" s="162">
        <f t="shared" si="0"/>
        <v>1.35</v>
      </c>
      <c r="L15" s="14" t="s">
        <v>864</v>
      </c>
      <c r="M15" s="14" t="s">
        <v>939</v>
      </c>
      <c r="N15"/>
      <c r="O15"/>
      <c r="P15"/>
      <c r="Q15"/>
    </row>
    <row r="16" spans="1:17" s="69" customFormat="1" x14ac:dyDescent="0.25">
      <c r="A16" s="4" t="s">
        <v>850</v>
      </c>
      <c r="B16" s="4">
        <v>1.1000000000000001</v>
      </c>
      <c r="C16" s="4" t="s">
        <v>163</v>
      </c>
      <c r="D16" s="14" t="s">
        <v>940</v>
      </c>
      <c r="E16" s="34" t="s">
        <v>29</v>
      </c>
      <c r="F16" s="34" t="s">
        <v>29</v>
      </c>
      <c r="G16" s="158">
        <v>1</v>
      </c>
      <c r="H16" s="156">
        <v>6</v>
      </c>
      <c r="I16" s="156">
        <v>1</v>
      </c>
      <c r="J16" s="157">
        <f>6/4</f>
        <v>1.5</v>
      </c>
      <c r="K16" s="162">
        <f t="shared" si="0"/>
        <v>0.66666666666666663</v>
      </c>
      <c r="L16" s="14" t="s">
        <v>941</v>
      </c>
      <c r="M16" s="14" t="s">
        <v>942</v>
      </c>
      <c r="N16"/>
      <c r="O16"/>
      <c r="P16"/>
      <c r="Q16"/>
    </row>
    <row r="17" spans="1:17" s="69" customFormat="1" ht="22.5" x14ac:dyDescent="0.25">
      <c r="A17" s="4" t="s">
        <v>850</v>
      </c>
      <c r="B17" s="4">
        <v>1.1000000000000001</v>
      </c>
      <c r="C17" s="4" t="s">
        <v>163</v>
      </c>
      <c r="D17" s="14" t="s">
        <v>943</v>
      </c>
      <c r="E17" s="34" t="s">
        <v>29</v>
      </c>
      <c r="F17" s="34" t="s">
        <v>29</v>
      </c>
      <c r="G17" s="158">
        <v>1</v>
      </c>
      <c r="H17" s="156" t="s">
        <v>861</v>
      </c>
      <c r="I17" s="156">
        <v>1</v>
      </c>
      <c r="J17" s="157">
        <f>270/54</f>
        <v>5</v>
      </c>
      <c r="K17" s="162">
        <f t="shared" si="0"/>
        <v>0.2</v>
      </c>
      <c r="L17" s="14" t="s">
        <v>944</v>
      </c>
      <c r="M17" s="14" t="s">
        <v>862</v>
      </c>
      <c r="N17"/>
      <c r="O17"/>
      <c r="P17"/>
      <c r="Q17"/>
    </row>
    <row r="18" spans="1:17" s="69" customFormat="1" x14ac:dyDescent="0.25">
      <c r="A18" s="4" t="s">
        <v>850</v>
      </c>
      <c r="B18" s="4">
        <v>1.1000000000000001</v>
      </c>
      <c r="C18" s="4" t="s">
        <v>163</v>
      </c>
      <c r="D18" s="14" t="s">
        <v>945</v>
      </c>
      <c r="E18" s="34" t="s">
        <v>29</v>
      </c>
      <c r="F18" s="34" t="s">
        <v>29</v>
      </c>
      <c r="G18" s="158">
        <v>2.75</v>
      </c>
      <c r="H18" s="156">
        <v>20</v>
      </c>
      <c r="I18" s="156">
        <v>1</v>
      </c>
      <c r="J18" s="157">
        <f>20/1</f>
        <v>20</v>
      </c>
      <c r="K18" s="162">
        <f t="shared" si="0"/>
        <v>0.13750000000000001</v>
      </c>
      <c r="L18" s="14" t="s">
        <v>946</v>
      </c>
      <c r="M18" s="14" t="s">
        <v>947</v>
      </c>
      <c r="N18"/>
      <c r="O18"/>
      <c r="P18"/>
      <c r="Q18"/>
    </row>
    <row r="19" spans="1:17" s="69" customFormat="1" ht="33.75" x14ac:dyDescent="0.25">
      <c r="A19" s="4" t="s">
        <v>850</v>
      </c>
      <c r="B19" s="4">
        <v>1.1000000000000001</v>
      </c>
      <c r="C19" s="4" t="s">
        <v>163</v>
      </c>
      <c r="D19" s="14" t="s">
        <v>948</v>
      </c>
      <c r="E19" s="34" t="s">
        <v>29</v>
      </c>
      <c r="F19" s="34" t="s">
        <v>29</v>
      </c>
      <c r="G19" s="158">
        <v>1.2</v>
      </c>
      <c r="H19" s="156">
        <v>4</v>
      </c>
      <c r="I19" s="156">
        <v>1</v>
      </c>
      <c r="J19" s="157">
        <v>4</v>
      </c>
      <c r="K19" s="162">
        <f t="shared" si="0"/>
        <v>0.3</v>
      </c>
      <c r="L19" s="14" t="s">
        <v>949</v>
      </c>
      <c r="M19" s="39" t="s">
        <v>950</v>
      </c>
      <c r="N19"/>
      <c r="O19"/>
      <c r="P19"/>
      <c r="Q19"/>
    </row>
    <row r="20" spans="1:17" s="69" customFormat="1" ht="33.75" x14ac:dyDescent="0.25">
      <c r="A20" s="4" t="s">
        <v>850</v>
      </c>
      <c r="B20" s="4">
        <v>1.1000000000000001</v>
      </c>
      <c r="C20" s="4" t="s">
        <v>163</v>
      </c>
      <c r="D20" s="14" t="s">
        <v>951</v>
      </c>
      <c r="E20" s="34" t="s">
        <v>29</v>
      </c>
      <c r="F20" s="34" t="s">
        <v>29</v>
      </c>
      <c r="G20" s="158">
        <v>1.55</v>
      </c>
      <c r="H20" s="156">
        <v>8</v>
      </c>
      <c r="I20" s="156">
        <v>1</v>
      </c>
      <c r="J20" s="157">
        <f>8/1</f>
        <v>8</v>
      </c>
      <c r="K20" s="162">
        <f t="shared" si="0"/>
        <v>0.19375000000000001</v>
      </c>
      <c r="L20" s="14" t="s">
        <v>952</v>
      </c>
      <c r="M20" s="14" t="s">
        <v>1159</v>
      </c>
      <c r="N20"/>
      <c r="O20"/>
      <c r="P20"/>
      <c r="Q20"/>
    </row>
    <row r="21" spans="1:17" s="69" customFormat="1" ht="33.75" x14ac:dyDescent="0.25">
      <c r="A21" s="4" t="s">
        <v>850</v>
      </c>
      <c r="B21" s="4">
        <v>1.1000000000000001</v>
      </c>
      <c r="C21" s="4" t="s">
        <v>163</v>
      </c>
      <c r="D21" s="14" t="s">
        <v>953</v>
      </c>
      <c r="E21" s="4" t="s">
        <v>954</v>
      </c>
      <c r="F21" s="34" t="s">
        <v>29</v>
      </c>
      <c r="G21" s="158">
        <v>1</v>
      </c>
      <c r="H21" s="156" t="s">
        <v>955</v>
      </c>
      <c r="I21" s="156">
        <v>1</v>
      </c>
      <c r="J21" s="157">
        <f>4/1</f>
        <v>4</v>
      </c>
      <c r="K21" s="162">
        <f t="shared" si="0"/>
        <v>0.25</v>
      </c>
      <c r="L21" s="14" t="s">
        <v>889</v>
      </c>
      <c r="M21" s="4" t="s">
        <v>956</v>
      </c>
      <c r="N21"/>
      <c r="O21"/>
      <c r="P21"/>
      <c r="Q21"/>
    </row>
    <row r="22" spans="1:17" ht="22.5" x14ac:dyDescent="0.25">
      <c r="A22" s="11" t="s">
        <v>1</v>
      </c>
      <c r="B22" s="11" t="s">
        <v>2</v>
      </c>
      <c r="C22" s="11" t="s">
        <v>3</v>
      </c>
      <c r="D22" s="11" t="s">
        <v>5</v>
      </c>
      <c r="E22" s="11" t="s">
        <v>6</v>
      </c>
      <c r="F22" s="11" t="s">
        <v>7</v>
      </c>
      <c r="G22" s="86" t="s">
        <v>8</v>
      </c>
      <c r="H22" s="86" t="s">
        <v>9</v>
      </c>
      <c r="I22" s="11" t="s">
        <v>10</v>
      </c>
      <c r="J22" s="12" t="s">
        <v>11</v>
      </c>
      <c r="K22" s="86" t="s">
        <v>54</v>
      </c>
      <c r="L22" s="86" t="s">
        <v>13</v>
      </c>
      <c r="M22" s="11" t="s">
        <v>14</v>
      </c>
      <c r="N22" s="139"/>
      <c r="O22" s="139"/>
      <c r="P22" s="139"/>
      <c r="Q22" s="139"/>
    </row>
    <row r="23" spans="1:17" s="69" customFormat="1" ht="22.5" x14ac:dyDescent="0.25">
      <c r="A23" s="4" t="s">
        <v>850</v>
      </c>
      <c r="B23" s="4">
        <v>1.1000000000000001</v>
      </c>
      <c r="C23" s="4" t="s">
        <v>163</v>
      </c>
      <c r="D23" s="14" t="s">
        <v>957</v>
      </c>
      <c r="E23" s="34" t="s">
        <v>29</v>
      </c>
      <c r="F23" s="34" t="s">
        <v>29</v>
      </c>
      <c r="G23" s="156">
        <v>0.65</v>
      </c>
      <c r="H23" s="156" t="s">
        <v>958</v>
      </c>
      <c r="I23" s="156">
        <v>1</v>
      </c>
      <c r="J23" s="157">
        <v>1</v>
      </c>
      <c r="K23" s="162">
        <f t="shared" si="0"/>
        <v>0.65</v>
      </c>
      <c r="L23" s="14" t="s">
        <v>959</v>
      </c>
      <c r="M23" s="4" t="s">
        <v>960</v>
      </c>
      <c r="N23"/>
      <c r="O23"/>
      <c r="P23"/>
      <c r="Q23"/>
    </row>
    <row r="24" spans="1:17" s="69" customFormat="1" x14ac:dyDescent="0.25">
      <c r="A24" s="4" t="s">
        <v>850</v>
      </c>
      <c r="B24" s="4">
        <v>1.1000000000000001</v>
      </c>
      <c r="C24" s="4" t="s">
        <v>163</v>
      </c>
      <c r="D24" s="14" t="s">
        <v>866</v>
      </c>
      <c r="E24" s="34" t="s">
        <v>29</v>
      </c>
      <c r="F24" s="34" t="s">
        <v>29</v>
      </c>
      <c r="G24" s="156">
        <v>3.25</v>
      </c>
      <c r="H24" s="156" t="s">
        <v>855</v>
      </c>
      <c r="I24" s="156">
        <v>1</v>
      </c>
      <c r="J24" s="157">
        <f>1000/90</f>
        <v>11.111111111111111</v>
      </c>
      <c r="K24" s="162">
        <f t="shared" si="0"/>
        <v>0.29250000000000004</v>
      </c>
      <c r="L24" s="14" t="s">
        <v>961</v>
      </c>
      <c r="M24" s="14" t="s">
        <v>867</v>
      </c>
      <c r="N24"/>
      <c r="O24"/>
      <c r="P24"/>
      <c r="Q24"/>
    </row>
    <row r="25" spans="1:17" s="69" customFormat="1" x14ac:dyDescent="0.25">
      <c r="A25" s="4" t="s">
        <v>850</v>
      </c>
      <c r="B25" s="4">
        <v>1.1000000000000001</v>
      </c>
      <c r="C25" s="4" t="s">
        <v>163</v>
      </c>
      <c r="D25" s="14" t="s">
        <v>962</v>
      </c>
      <c r="E25" s="34" t="s">
        <v>29</v>
      </c>
      <c r="F25" s="34" t="s">
        <v>29</v>
      </c>
      <c r="G25" s="158">
        <v>1.8</v>
      </c>
      <c r="H25" s="156" t="s">
        <v>868</v>
      </c>
      <c r="I25" s="156">
        <v>1</v>
      </c>
      <c r="J25" s="157">
        <f>500/35</f>
        <v>14.285714285714286</v>
      </c>
      <c r="K25" s="162">
        <f t="shared" si="0"/>
        <v>0.126</v>
      </c>
      <c r="L25" s="14" t="s">
        <v>963</v>
      </c>
      <c r="M25" s="4" t="s">
        <v>964</v>
      </c>
      <c r="N25"/>
      <c r="O25"/>
      <c r="P25"/>
      <c r="Q25"/>
    </row>
    <row r="26" spans="1:17" s="69" customFormat="1" ht="22.5" x14ac:dyDescent="0.25">
      <c r="A26" s="4" t="s">
        <v>850</v>
      </c>
      <c r="B26" s="4">
        <v>1.1000000000000001</v>
      </c>
      <c r="C26" s="4" t="s">
        <v>163</v>
      </c>
      <c r="D26" s="14" t="s">
        <v>965</v>
      </c>
      <c r="E26" s="34" t="s">
        <v>870</v>
      </c>
      <c r="F26" s="34" t="s">
        <v>29</v>
      </c>
      <c r="G26" s="158">
        <v>1.5</v>
      </c>
      <c r="H26" s="156" t="s">
        <v>871</v>
      </c>
      <c r="I26" s="156">
        <v>1</v>
      </c>
      <c r="J26" s="157">
        <f>7/4</f>
        <v>1.75</v>
      </c>
      <c r="K26" s="162">
        <f t="shared" si="0"/>
        <v>0.8571428571428571</v>
      </c>
      <c r="L26" s="14" t="s">
        <v>966</v>
      </c>
      <c r="M26" s="4" t="s">
        <v>1160</v>
      </c>
      <c r="N26"/>
      <c r="O26"/>
      <c r="P26"/>
      <c r="Q26"/>
    </row>
    <row r="27" spans="1:17" s="69" customFormat="1" x14ac:dyDescent="0.25">
      <c r="A27" s="4" t="s">
        <v>850</v>
      </c>
      <c r="B27" s="4">
        <v>1.1000000000000001</v>
      </c>
      <c r="C27" s="4" t="s">
        <v>163</v>
      </c>
      <c r="D27" s="14" t="s">
        <v>967</v>
      </c>
      <c r="E27" s="34" t="s">
        <v>29</v>
      </c>
      <c r="F27" s="34" t="s">
        <v>29</v>
      </c>
      <c r="G27" s="158">
        <v>0.14000000000000001</v>
      </c>
      <c r="H27" s="156">
        <v>1</v>
      </c>
      <c r="I27" s="156">
        <v>3</v>
      </c>
      <c r="J27" s="157">
        <v>1</v>
      </c>
      <c r="K27" s="162">
        <f t="shared" si="0"/>
        <v>0.42000000000000004</v>
      </c>
      <c r="L27" s="14" t="s">
        <v>968</v>
      </c>
      <c r="M27" s="4" t="s">
        <v>969</v>
      </c>
      <c r="N27"/>
      <c r="O27"/>
      <c r="P27"/>
      <c r="Q27"/>
    </row>
    <row r="28" spans="1:17" s="69" customFormat="1" ht="22.5" x14ac:dyDescent="0.25">
      <c r="A28" s="4" t="s">
        <v>850</v>
      </c>
      <c r="B28" s="4">
        <v>1.1000000000000001</v>
      </c>
      <c r="C28" s="4" t="s">
        <v>163</v>
      </c>
      <c r="D28" s="14" t="s">
        <v>970</v>
      </c>
      <c r="E28" s="34" t="s">
        <v>29</v>
      </c>
      <c r="F28" s="34" t="s">
        <v>29</v>
      </c>
      <c r="G28" s="158">
        <v>0.5</v>
      </c>
      <c r="H28" s="156">
        <v>1</v>
      </c>
      <c r="I28" s="156">
        <v>1</v>
      </c>
      <c r="J28" s="157">
        <v>1</v>
      </c>
      <c r="K28" s="162">
        <f t="shared" si="0"/>
        <v>0.5</v>
      </c>
      <c r="L28" s="14" t="s">
        <v>971</v>
      </c>
      <c r="M28" s="4" t="s">
        <v>972</v>
      </c>
      <c r="N28"/>
      <c r="O28"/>
      <c r="P28"/>
      <c r="Q28"/>
    </row>
    <row r="29" spans="1:17" s="69" customFormat="1" x14ac:dyDescent="0.25">
      <c r="A29" s="4" t="s">
        <v>850</v>
      </c>
      <c r="B29" s="4">
        <v>1.1000000000000001</v>
      </c>
      <c r="C29" s="4" t="s">
        <v>163</v>
      </c>
      <c r="D29" s="14" t="s">
        <v>973</v>
      </c>
      <c r="E29" s="34" t="s">
        <v>974</v>
      </c>
      <c r="F29" s="34" t="s">
        <v>29</v>
      </c>
      <c r="G29" s="156">
        <v>2.25</v>
      </c>
      <c r="H29" s="156" t="s">
        <v>902</v>
      </c>
      <c r="I29" s="156">
        <v>1</v>
      </c>
      <c r="J29" s="157">
        <v>1</v>
      </c>
      <c r="K29" s="162">
        <f t="shared" si="0"/>
        <v>2.25</v>
      </c>
      <c r="L29" s="14" t="s">
        <v>975</v>
      </c>
      <c r="M29" s="4" t="s">
        <v>976</v>
      </c>
      <c r="N29"/>
      <c r="O29"/>
      <c r="P29"/>
      <c r="Q29"/>
    </row>
    <row r="30" spans="1:17" s="69" customFormat="1" ht="22.5" x14ac:dyDescent="0.25">
      <c r="A30" s="4" t="s">
        <v>850</v>
      </c>
      <c r="B30" s="4">
        <v>1.1000000000000001</v>
      </c>
      <c r="C30" s="4" t="s">
        <v>163</v>
      </c>
      <c r="D30" s="14" t="s">
        <v>977</v>
      </c>
      <c r="E30" s="34" t="s">
        <v>29</v>
      </c>
      <c r="F30" s="34" t="s">
        <v>29</v>
      </c>
      <c r="G30" s="156">
        <v>0.43</v>
      </c>
      <c r="H30" s="156">
        <v>1</v>
      </c>
      <c r="I30" s="156">
        <v>3</v>
      </c>
      <c r="J30" s="157">
        <v>1</v>
      </c>
      <c r="K30" s="156">
        <f t="shared" si="0"/>
        <v>1.29</v>
      </c>
      <c r="L30" s="14" t="s">
        <v>978</v>
      </c>
      <c r="M30" s="14" t="s">
        <v>873</v>
      </c>
      <c r="N30"/>
      <c r="O30"/>
      <c r="P30"/>
      <c r="Q30"/>
    </row>
    <row r="31" spans="1:17" s="69" customFormat="1" ht="22.5" x14ac:dyDescent="0.25">
      <c r="A31" s="4" t="s">
        <v>850</v>
      </c>
      <c r="B31" s="4">
        <v>1.1000000000000001</v>
      </c>
      <c r="C31" s="4" t="s">
        <v>163</v>
      </c>
      <c r="D31" s="14" t="s">
        <v>979</v>
      </c>
      <c r="E31" s="34" t="s">
        <v>29</v>
      </c>
      <c r="F31" s="34" t="s">
        <v>29</v>
      </c>
      <c r="G31" s="158">
        <v>2</v>
      </c>
      <c r="H31" s="156" t="s">
        <v>868</v>
      </c>
      <c r="I31" s="156">
        <v>1</v>
      </c>
      <c r="J31" s="157">
        <f>500/420</f>
        <v>1.1904761904761905</v>
      </c>
      <c r="K31" s="156">
        <f t="shared" si="0"/>
        <v>1.68</v>
      </c>
      <c r="L31" s="14" t="s">
        <v>980</v>
      </c>
      <c r="M31" s="4" t="s">
        <v>981</v>
      </c>
      <c r="N31"/>
      <c r="O31"/>
      <c r="P31"/>
      <c r="Q31"/>
    </row>
    <row r="32" spans="1:17" s="69" customFormat="1" ht="22.5" x14ac:dyDescent="0.25">
      <c r="A32" s="4" t="s">
        <v>850</v>
      </c>
      <c r="B32" s="4">
        <v>1.1000000000000001</v>
      </c>
      <c r="C32" s="4" t="s">
        <v>163</v>
      </c>
      <c r="D32" s="14" t="s">
        <v>982</v>
      </c>
      <c r="E32" s="34" t="s">
        <v>29</v>
      </c>
      <c r="F32" s="34" t="s">
        <v>29</v>
      </c>
      <c r="G32" s="156">
        <v>0.51</v>
      </c>
      <c r="H32" s="156">
        <v>1</v>
      </c>
      <c r="I32" s="156">
        <v>1</v>
      </c>
      <c r="J32" s="157">
        <v>1</v>
      </c>
      <c r="K32" s="156">
        <f t="shared" si="0"/>
        <v>0.51</v>
      </c>
      <c r="L32" s="14" t="s">
        <v>983</v>
      </c>
      <c r="M32" s="14" t="s">
        <v>872</v>
      </c>
      <c r="N32"/>
      <c r="O32"/>
      <c r="P32"/>
      <c r="Q32"/>
    </row>
    <row r="33" spans="1:17" s="69" customFormat="1" ht="22.5" x14ac:dyDescent="0.25">
      <c r="A33" s="4" t="s">
        <v>850</v>
      </c>
      <c r="B33" s="4">
        <v>1.1000000000000001</v>
      </c>
      <c r="C33" s="4" t="s">
        <v>163</v>
      </c>
      <c r="D33" s="14" t="s">
        <v>984</v>
      </c>
      <c r="E33" s="34" t="s">
        <v>29</v>
      </c>
      <c r="F33" s="34" t="s">
        <v>29</v>
      </c>
      <c r="G33" s="158">
        <v>0.8</v>
      </c>
      <c r="H33" s="156">
        <v>24</v>
      </c>
      <c r="I33" s="156">
        <v>1</v>
      </c>
      <c r="J33" s="157">
        <f>24/4</f>
        <v>6</v>
      </c>
      <c r="K33" s="158">
        <f t="shared" si="0"/>
        <v>0.13333333333333333</v>
      </c>
      <c r="L33" s="14" t="s">
        <v>985</v>
      </c>
      <c r="M33" s="4" t="s">
        <v>986</v>
      </c>
      <c r="N33"/>
      <c r="O33"/>
      <c r="P33"/>
      <c r="Q33"/>
    </row>
    <row r="34" spans="1:17" s="69" customFormat="1" ht="22.5" x14ac:dyDescent="0.25">
      <c r="A34" s="4" t="s">
        <v>850</v>
      </c>
      <c r="B34" s="4">
        <v>1.1000000000000001</v>
      </c>
      <c r="C34" s="4" t="s">
        <v>163</v>
      </c>
      <c r="D34" s="14" t="s">
        <v>987</v>
      </c>
      <c r="E34" s="34" t="s">
        <v>29</v>
      </c>
      <c r="F34" s="34" t="s">
        <v>29</v>
      </c>
      <c r="G34" s="158">
        <v>0.3</v>
      </c>
      <c r="H34" s="156">
        <v>20</v>
      </c>
      <c r="I34" s="156">
        <v>1</v>
      </c>
      <c r="J34" s="157">
        <f>20/16</f>
        <v>1.25</v>
      </c>
      <c r="K34" s="156">
        <f t="shared" si="0"/>
        <v>0.24</v>
      </c>
      <c r="L34" s="14" t="s">
        <v>988</v>
      </c>
      <c r="M34" s="14" t="s">
        <v>989</v>
      </c>
      <c r="N34"/>
      <c r="O34"/>
      <c r="P34"/>
      <c r="Q34"/>
    </row>
    <row r="35" spans="1:17" s="69" customFormat="1" ht="22.5" x14ac:dyDescent="0.25">
      <c r="A35" s="4" t="s">
        <v>850</v>
      </c>
      <c r="B35" s="4">
        <v>1.1000000000000001</v>
      </c>
      <c r="C35" s="4" t="s">
        <v>163</v>
      </c>
      <c r="D35" s="14" t="s">
        <v>990</v>
      </c>
      <c r="E35" s="34" t="s">
        <v>29</v>
      </c>
      <c r="F35" s="34" t="s">
        <v>29</v>
      </c>
      <c r="G35" s="158">
        <v>0.5</v>
      </c>
      <c r="H35" s="156">
        <v>28</v>
      </c>
      <c r="I35" s="156">
        <v>1</v>
      </c>
      <c r="J35" s="157">
        <f>28/4</f>
        <v>7</v>
      </c>
      <c r="K35" s="158">
        <f t="shared" si="0"/>
        <v>7.1428571428571425E-2</v>
      </c>
      <c r="L35" s="14" t="s">
        <v>991</v>
      </c>
      <c r="M35" s="14" t="s">
        <v>992</v>
      </c>
      <c r="N35"/>
      <c r="O35"/>
      <c r="P35"/>
      <c r="Q35"/>
    </row>
    <row r="36" spans="1:17" s="69" customFormat="1" x14ac:dyDescent="0.25">
      <c r="A36" s="4" t="s">
        <v>850</v>
      </c>
      <c r="B36" s="4">
        <v>1.1000000000000001</v>
      </c>
      <c r="C36" s="4" t="s">
        <v>163</v>
      </c>
      <c r="D36" s="14" t="s">
        <v>993</v>
      </c>
      <c r="E36" s="34" t="s">
        <v>29</v>
      </c>
      <c r="F36" s="34" t="s">
        <v>29</v>
      </c>
      <c r="G36" s="156">
        <v>0.85</v>
      </c>
      <c r="H36" s="156">
        <v>6</v>
      </c>
      <c r="I36" s="156">
        <v>1</v>
      </c>
      <c r="J36" s="157">
        <f>6/3</f>
        <v>2</v>
      </c>
      <c r="K36" s="158">
        <f t="shared" si="0"/>
        <v>0.42499999999999999</v>
      </c>
      <c r="L36" s="14" t="s">
        <v>994</v>
      </c>
      <c r="M36" s="4" t="s">
        <v>995</v>
      </c>
      <c r="N36"/>
      <c r="O36"/>
      <c r="P36"/>
      <c r="Q36"/>
    </row>
    <row r="37" spans="1:17" s="69" customFormat="1" ht="22.5" x14ac:dyDescent="0.25">
      <c r="A37" s="4" t="s">
        <v>850</v>
      </c>
      <c r="B37" s="4">
        <v>1.1000000000000001</v>
      </c>
      <c r="C37" s="4" t="s">
        <v>163</v>
      </c>
      <c r="D37" s="14" t="s">
        <v>996</v>
      </c>
      <c r="E37" s="34" t="s">
        <v>29</v>
      </c>
      <c r="F37" s="34" t="s">
        <v>29</v>
      </c>
      <c r="G37" s="158">
        <v>2</v>
      </c>
      <c r="H37" s="156" t="s">
        <v>868</v>
      </c>
      <c r="I37" s="156">
        <v>1</v>
      </c>
      <c r="J37" s="157">
        <f>500/100</f>
        <v>5</v>
      </c>
      <c r="K37" s="158">
        <f t="shared" si="0"/>
        <v>0.4</v>
      </c>
      <c r="L37" s="14" t="s">
        <v>997</v>
      </c>
      <c r="M37" s="14" t="s">
        <v>998</v>
      </c>
      <c r="N37"/>
      <c r="O37"/>
      <c r="P37"/>
      <c r="Q37"/>
    </row>
    <row r="38" spans="1:17" s="69" customFormat="1" x14ac:dyDescent="0.25">
      <c r="A38" s="4" t="s">
        <v>850</v>
      </c>
      <c r="B38" s="4">
        <v>1.1000000000000001</v>
      </c>
      <c r="C38" s="4" t="s">
        <v>163</v>
      </c>
      <c r="D38" s="14" t="s">
        <v>999</v>
      </c>
      <c r="E38" s="34" t="s">
        <v>29</v>
      </c>
      <c r="F38" s="34" t="s">
        <v>29</v>
      </c>
      <c r="G38" s="156">
        <v>0.99</v>
      </c>
      <c r="H38" s="156">
        <v>4</v>
      </c>
      <c r="I38" s="156">
        <v>1</v>
      </c>
      <c r="J38" s="157">
        <f>4/2</f>
        <v>2</v>
      </c>
      <c r="K38" s="158">
        <f t="shared" si="0"/>
        <v>0.495</v>
      </c>
      <c r="L38" s="14" t="s">
        <v>1000</v>
      </c>
      <c r="M38" s="4" t="s">
        <v>1001</v>
      </c>
      <c r="N38"/>
      <c r="O38"/>
      <c r="P38"/>
      <c r="Q38"/>
    </row>
    <row r="39" spans="1:17" s="69" customFormat="1" x14ac:dyDescent="0.25">
      <c r="A39" s="4" t="s">
        <v>850</v>
      </c>
      <c r="B39" s="4">
        <v>1.1000000000000001</v>
      </c>
      <c r="C39" s="4" t="s">
        <v>163</v>
      </c>
      <c r="D39" s="14" t="s">
        <v>1002</v>
      </c>
      <c r="E39" s="34" t="s">
        <v>29</v>
      </c>
      <c r="F39" s="34" t="s">
        <v>29</v>
      </c>
      <c r="G39" s="158">
        <v>1</v>
      </c>
      <c r="H39" s="156" t="s">
        <v>887</v>
      </c>
      <c r="I39" s="156">
        <v>1</v>
      </c>
      <c r="J39" s="157">
        <v>1</v>
      </c>
      <c r="K39" s="158">
        <f t="shared" si="0"/>
        <v>1</v>
      </c>
      <c r="L39" s="14" t="s">
        <v>1003</v>
      </c>
      <c r="M39" s="14" t="s">
        <v>1004</v>
      </c>
      <c r="N39"/>
      <c r="O39"/>
      <c r="P39"/>
      <c r="Q39"/>
    </row>
    <row r="40" spans="1:17" s="69" customFormat="1" ht="22.5" x14ac:dyDescent="0.25">
      <c r="A40" s="4" t="s">
        <v>850</v>
      </c>
      <c r="B40" s="4">
        <v>1.1000000000000001</v>
      </c>
      <c r="C40" s="4" t="s">
        <v>163</v>
      </c>
      <c r="D40" s="14" t="s">
        <v>1005</v>
      </c>
      <c r="E40" s="34" t="s">
        <v>29</v>
      </c>
      <c r="F40" s="34" t="s">
        <v>29</v>
      </c>
      <c r="G40" s="158">
        <v>1.6</v>
      </c>
      <c r="H40" s="156" t="s">
        <v>865</v>
      </c>
      <c r="I40" s="156">
        <v>1</v>
      </c>
      <c r="J40" s="157">
        <f>220/128</f>
        <v>1.71875</v>
      </c>
      <c r="K40" s="158">
        <f t="shared" si="0"/>
        <v>0.93090909090909091</v>
      </c>
      <c r="L40" s="14" t="s">
        <v>1006</v>
      </c>
      <c r="M40" s="14" t="s">
        <v>881</v>
      </c>
      <c r="N40"/>
      <c r="O40"/>
      <c r="P40"/>
      <c r="Q40"/>
    </row>
    <row r="41" spans="1:17" s="69" customFormat="1" ht="22.5" x14ac:dyDescent="0.25">
      <c r="A41" s="4" t="s">
        <v>850</v>
      </c>
      <c r="B41" s="4">
        <v>1.1000000000000001</v>
      </c>
      <c r="C41" s="4" t="s">
        <v>163</v>
      </c>
      <c r="D41" s="14" t="s">
        <v>1007</v>
      </c>
      <c r="E41" s="34" t="s">
        <v>29</v>
      </c>
      <c r="F41" s="34" t="s">
        <v>29</v>
      </c>
      <c r="G41" s="158">
        <v>2</v>
      </c>
      <c r="H41" s="156" t="s">
        <v>1008</v>
      </c>
      <c r="I41" s="156">
        <v>1</v>
      </c>
      <c r="J41" s="157">
        <v>1</v>
      </c>
      <c r="K41" s="158">
        <f t="shared" si="0"/>
        <v>2</v>
      </c>
      <c r="L41" s="14" t="s">
        <v>1009</v>
      </c>
      <c r="M41" s="4" t="s">
        <v>1010</v>
      </c>
      <c r="N41"/>
      <c r="O41"/>
      <c r="P41"/>
      <c r="Q41"/>
    </row>
    <row r="42" spans="1:17" s="69" customFormat="1" x14ac:dyDescent="0.25">
      <c r="A42" s="4" t="s">
        <v>850</v>
      </c>
      <c r="B42" s="4">
        <v>1.1000000000000001</v>
      </c>
      <c r="C42" s="4" t="s">
        <v>163</v>
      </c>
      <c r="D42" s="14" t="s">
        <v>1011</v>
      </c>
      <c r="E42" s="34" t="s">
        <v>29</v>
      </c>
      <c r="F42" s="34" t="s">
        <v>29</v>
      </c>
      <c r="G42" s="158">
        <v>1.4</v>
      </c>
      <c r="H42" s="156" t="s">
        <v>878</v>
      </c>
      <c r="I42" s="156">
        <v>1</v>
      </c>
      <c r="J42" s="157">
        <v>1</v>
      </c>
      <c r="K42" s="158">
        <f t="shared" si="0"/>
        <v>1.4</v>
      </c>
      <c r="L42" s="14" t="s">
        <v>1012</v>
      </c>
      <c r="M42" s="14" t="s">
        <v>1013</v>
      </c>
      <c r="N42"/>
      <c r="O42"/>
      <c r="P42"/>
      <c r="Q42"/>
    </row>
    <row r="43" spans="1:17" s="69" customFormat="1" ht="22.5" x14ac:dyDescent="0.25">
      <c r="A43" s="4" t="s">
        <v>850</v>
      </c>
      <c r="B43" s="4">
        <v>1.1000000000000001</v>
      </c>
      <c r="C43" s="4" t="s">
        <v>163</v>
      </c>
      <c r="D43" s="14" t="s">
        <v>1014</v>
      </c>
      <c r="E43" s="34" t="s">
        <v>29</v>
      </c>
      <c r="F43" s="34" t="s">
        <v>29</v>
      </c>
      <c r="G43" s="158">
        <v>1</v>
      </c>
      <c r="H43" s="156">
        <v>4</v>
      </c>
      <c r="I43" s="156">
        <v>1</v>
      </c>
      <c r="J43" s="157">
        <f>4/1</f>
        <v>4</v>
      </c>
      <c r="K43" s="158">
        <f t="shared" si="0"/>
        <v>0.25</v>
      </c>
      <c r="L43" s="14" t="s">
        <v>1015</v>
      </c>
      <c r="M43" s="14" t="s">
        <v>1016</v>
      </c>
      <c r="N43"/>
      <c r="O43"/>
      <c r="P43"/>
      <c r="Q43"/>
    </row>
    <row r="44" spans="1:17" s="69" customFormat="1" ht="22.5" x14ac:dyDescent="0.25">
      <c r="A44" s="4" t="s">
        <v>850</v>
      </c>
      <c r="B44" s="4">
        <v>1.1000000000000001</v>
      </c>
      <c r="C44" s="4" t="s">
        <v>163</v>
      </c>
      <c r="D44" s="14" t="s">
        <v>856</v>
      </c>
      <c r="E44" s="34" t="s">
        <v>29</v>
      </c>
      <c r="F44" s="34" t="s">
        <v>29</v>
      </c>
      <c r="G44" s="156">
        <v>0.8</v>
      </c>
      <c r="H44" s="156">
        <v>4</v>
      </c>
      <c r="I44" s="156">
        <v>1</v>
      </c>
      <c r="J44" s="157">
        <f>4/1</f>
        <v>4</v>
      </c>
      <c r="K44" s="158">
        <f t="shared" si="0"/>
        <v>0.2</v>
      </c>
      <c r="L44" s="14" t="s">
        <v>1017</v>
      </c>
      <c r="M44" s="14" t="s">
        <v>1018</v>
      </c>
      <c r="N44"/>
      <c r="O44"/>
      <c r="P44"/>
      <c r="Q44"/>
    </row>
    <row r="45" spans="1:17" ht="22.5" x14ac:dyDescent="0.25">
      <c r="A45" s="11" t="s">
        <v>1</v>
      </c>
      <c r="B45" s="11" t="s">
        <v>2</v>
      </c>
      <c r="C45" s="11" t="s">
        <v>3</v>
      </c>
      <c r="D45" s="11" t="s">
        <v>5</v>
      </c>
      <c r="E45" s="11" t="s">
        <v>6</v>
      </c>
      <c r="F45" s="11" t="s">
        <v>7</v>
      </c>
      <c r="G45" s="86" t="s">
        <v>8</v>
      </c>
      <c r="H45" s="86" t="s">
        <v>9</v>
      </c>
      <c r="I45" s="11" t="s">
        <v>10</v>
      </c>
      <c r="J45" s="12" t="s">
        <v>11</v>
      </c>
      <c r="K45" s="86" t="s">
        <v>54</v>
      </c>
      <c r="L45" s="86" t="s">
        <v>13</v>
      </c>
      <c r="M45" s="11" t="s">
        <v>14</v>
      </c>
      <c r="N45" s="139"/>
      <c r="O45" s="139"/>
      <c r="P45" s="139"/>
      <c r="Q45" s="139"/>
    </row>
    <row r="46" spans="1:17" s="69" customFormat="1" ht="22.5" x14ac:dyDescent="0.25">
      <c r="A46" s="4" t="s">
        <v>850</v>
      </c>
      <c r="B46" s="4">
        <v>1.1000000000000001</v>
      </c>
      <c r="C46" s="4" t="s">
        <v>163</v>
      </c>
      <c r="D46" s="14" t="s">
        <v>1019</v>
      </c>
      <c r="E46" s="34" t="s">
        <v>29</v>
      </c>
      <c r="F46" s="34" t="s">
        <v>29</v>
      </c>
      <c r="G46" s="156">
        <v>0.69</v>
      </c>
      <c r="H46" s="156" t="s">
        <v>899</v>
      </c>
      <c r="I46" s="156">
        <v>1</v>
      </c>
      <c r="J46" s="157">
        <f>450/99</f>
        <v>4.5454545454545459</v>
      </c>
      <c r="K46" s="158">
        <f t="shared" si="0"/>
        <v>0.15179999999999996</v>
      </c>
      <c r="L46" s="14" t="s">
        <v>900</v>
      </c>
      <c r="M46" s="14" t="s">
        <v>901</v>
      </c>
      <c r="N46"/>
      <c r="O46"/>
      <c r="P46"/>
      <c r="Q46"/>
    </row>
    <row r="47" spans="1:17" s="69" customFormat="1" x14ac:dyDescent="0.25">
      <c r="A47" s="4" t="s">
        <v>850</v>
      </c>
      <c r="B47" s="4">
        <v>1.1000000000000001</v>
      </c>
      <c r="C47" s="4" t="s">
        <v>163</v>
      </c>
      <c r="D47" s="14" t="s">
        <v>1020</v>
      </c>
      <c r="E47" s="34" t="s">
        <v>29</v>
      </c>
      <c r="F47" s="34" t="s">
        <v>29</v>
      </c>
      <c r="G47" s="158">
        <v>1</v>
      </c>
      <c r="H47" s="156" t="s">
        <v>1021</v>
      </c>
      <c r="I47" s="156">
        <v>1</v>
      </c>
      <c r="J47" s="157">
        <v>1</v>
      </c>
      <c r="K47" s="158">
        <f t="shared" si="0"/>
        <v>1</v>
      </c>
      <c r="L47" s="14" t="s">
        <v>1022</v>
      </c>
      <c r="M47" s="4" t="s">
        <v>1023</v>
      </c>
      <c r="N47"/>
      <c r="O47"/>
      <c r="P47"/>
      <c r="Q47"/>
    </row>
    <row r="48" spans="1:17" s="69" customFormat="1" ht="22.5" x14ac:dyDescent="0.25">
      <c r="A48" s="4" t="s">
        <v>850</v>
      </c>
      <c r="B48" s="4">
        <v>1.1000000000000001</v>
      </c>
      <c r="C48" s="4" t="s">
        <v>163</v>
      </c>
      <c r="D48" s="14" t="s">
        <v>1024</v>
      </c>
      <c r="E48" s="34" t="s">
        <v>29</v>
      </c>
      <c r="F48" s="34" t="s">
        <v>29</v>
      </c>
      <c r="G48" s="156">
        <v>0.14000000000000001</v>
      </c>
      <c r="H48" s="156">
        <v>1</v>
      </c>
      <c r="I48" s="156">
        <v>4</v>
      </c>
      <c r="J48" s="157">
        <v>1</v>
      </c>
      <c r="K48" s="158">
        <f t="shared" si="0"/>
        <v>0.56000000000000005</v>
      </c>
      <c r="L48" s="14" t="s">
        <v>1025</v>
      </c>
      <c r="M48" s="4" t="s">
        <v>1026</v>
      </c>
      <c r="N48"/>
      <c r="O48"/>
      <c r="P48"/>
      <c r="Q48"/>
    </row>
    <row r="49" spans="1:17" s="69" customFormat="1" x14ac:dyDescent="0.25">
      <c r="A49" s="4" t="s">
        <v>850</v>
      </c>
      <c r="B49" s="4">
        <v>1.1000000000000001</v>
      </c>
      <c r="C49" s="4" t="s">
        <v>163</v>
      </c>
      <c r="D49" s="14" t="s">
        <v>1027</v>
      </c>
      <c r="E49" s="34" t="s">
        <v>29</v>
      </c>
      <c r="F49" s="34" t="s">
        <v>29</v>
      </c>
      <c r="G49" s="156">
        <v>0.45</v>
      </c>
      <c r="H49" s="156">
        <v>1</v>
      </c>
      <c r="I49" s="156">
        <v>1</v>
      </c>
      <c r="J49" s="157">
        <v>2</v>
      </c>
      <c r="K49" s="158">
        <f t="shared" si="0"/>
        <v>0.22500000000000001</v>
      </c>
      <c r="L49" s="14" t="s">
        <v>1028</v>
      </c>
      <c r="M49" s="4" t="s">
        <v>886</v>
      </c>
      <c r="N49"/>
      <c r="O49"/>
      <c r="P49"/>
      <c r="Q49"/>
    </row>
    <row r="50" spans="1:17" s="69" customFormat="1" x14ac:dyDescent="0.25">
      <c r="A50" s="4" t="s">
        <v>850</v>
      </c>
      <c r="B50" s="4">
        <v>1.1000000000000001</v>
      </c>
      <c r="C50" s="4" t="s">
        <v>163</v>
      </c>
      <c r="D50" s="14" t="s">
        <v>1029</v>
      </c>
      <c r="E50" s="34" t="s">
        <v>29</v>
      </c>
      <c r="F50" s="34" t="s">
        <v>29</v>
      </c>
      <c r="G50" s="156">
        <v>0.48</v>
      </c>
      <c r="H50" s="156">
        <v>1</v>
      </c>
      <c r="I50" s="156">
        <v>1</v>
      </c>
      <c r="J50" s="157">
        <v>1</v>
      </c>
      <c r="K50" s="156">
        <f t="shared" si="0"/>
        <v>0.48</v>
      </c>
      <c r="L50" s="14" t="s">
        <v>1030</v>
      </c>
      <c r="M50" s="4" t="s">
        <v>1031</v>
      </c>
      <c r="N50"/>
      <c r="O50"/>
      <c r="P50"/>
      <c r="Q50"/>
    </row>
    <row r="51" spans="1:17" s="69" customFormat="1" x14ac:dyDescent="0.25">
      <c r="A51" s="4" t="s">
        <v>850</v>
      </c>
      <c r="B51" s="4">
        <v>1.1000000000000001</v>
      </c>
      <c r="C51" s="4" t="s">
        <v>163</v>
      </c>
      <c r="D51" s="14" t="s">
        <v>1032</v>
      </c>
      <c r="E51" s="34" t="s">
        <v>29</v>
      </c>
      <c r="F51" s="34" t="s">
        <v>29</v>
      </c>
      <c r="G51" s="156">
        <v>0.48</v>
      </c>
      <c r="H51" s="156">
        <v>1</v>
      </c>
      <c r="I51" s="156">
        <v>1</v>
      </c>
      <c r="J51" s="157">
        <v>1</v>
      </c>
      <c r="K51" s="156">
        <f t="shared" si="0"/>
        <v>0.48</v>
      </c>
      <c r="L51" s="14" t="s">
        <v>1033</v>
      </c>
      <c r="M51" s="4" t="s">
        <v>1034</v>
      </c>
      <c r="N51"/>
      <c r="O51"/>
      <c r="P51"/>
      <c r="Q51"/>
    </row>
    <row r="52" spans="1:17" s="69" customFormat="1" x14ac:dyDescent="0.25">
      <c r="A52" s="4" t="s">
        <v>850</v>
      </c>
      <c r="B52" s="4">
        <v>1.1000000000000001</v>
      </c>
      <c r="C52" s="4" t="s">
        <v>163</v>
      </c>
      <c r="D52" s="14" t="s">
        <v>1035</v>
      </c>
      <c r="E52" s="34" t="s">
        <v>29</v>
      </c>
      <c r="F52" s="34" t="s">
        <v>29</v>
      </c>
      <c r="G52" s="156">
        <v>0.66</v>
      </c>
      <c r="H52" s="156">
        <v>1</v>
      </c>
      <c r="I52" s="156">
        <v>1</v>
      </c>
      <c r="J52" s="157">
        <v>1</v>
      </c>
      <c r="K52" s="156">
        <f t="shared" si="0"/>
        <v>0.66</v>
      </c>
      <c r="L52" s="14" t="s">
        <v>1036</v>
      </c>
      <c r="M52" s="4" t="s">
        <v>882</v>
      </c>
      <c r="N52"/>
      <c r="O52"/>
      <c r="P52"/>
      <c r="Q52"/>
    </row>
    <row r="53" spans="1:17" s="69" customFormat="1" ht="22.5" x14ac:dyDescent="0.25">
      <c r="A53" s="4" t="s">
        <v>850</v>
      </c>
      <c r="B53" s="4">
        <v>1.1000000000000001</v>
      </c>
      <c r="C53" s="4" t="s">
        <v>163</v>
      </c>
      <c r="D53" s="14" t="s">
        <v>1037</v>
      </c>
      <c r="E53" s="34" t="s">
        <v>29</v>
      </c>
      <c r="F53" s="34" t="s">
        <v>29</v>
      </c>
      <c r="G53" s="156">
        <v>0.37</v>
      </c>
      <c r="H53" s="156">
        <v>1</v>
      </c>
      <c r="I53" s="156">
        <v>1</v>
      </c>
      <c r="J53" s="157">
        <v>1.5</v>
      </c>
      <c r="K53" s="158">
        <f t="shared" si="0"/>
        <v>0.24666666666666667</v>
      </c>
      <c r="L53" s="14" t="s">
        <v>1038</v>
      </c>
      <c r="M53" s="14" t="s">
        <v>1039</v>
      </c>
      <c r="N53"/>
      <c r="O53"/>
      <c r="P53"/>
      <c r="Q53"/>
    </row>
    <row r="54" spans="1:17" s="69" customFormat="1" x14ac:dyDescent="0.25">
      <c r="A54" s="4" t="s">
        <v>850</v>
      </c>
      <c r="B54" s="4">
        <v>1.1000000000000001</v>
      </c>
      <c r="C54" s="4" t="s">
        <v>163</v>
      </c>
      <c r="D54" s="14" t="s">
        <v>1040</v>
      </c>
      <c r="E54" s="34" t="s">
        <v>29</v>
      </c>
      <c r="F54" s="34" t="s">
        <v>29</v>
      </c>
      <c r="G54" s="158">
        <v>0.7</v>
      </c>
      <c r="H54" s="156">
        <v>1</v>
      </c>
      <c r="I54" s="156">
        <v>1</v>
      </c>
      <c r="J54" s="157">
        <v>1</v>
      </c>
      <c r="K54" s="158">
        <f t="shared" si="0"/>
        <v>0.7</v>
      </c>
      <c r="L54" s="14" t="s">
        <v>1041</v>
      </c>
      <c r="M54" s="14" t="s">
        <v>1042</v>
      </c>
      <c r="N54"/>
      <c r="O54"/>
      <c r="P54"/>
      <c r="Q54"/>
    </row>
    <row r="55" spans="1:17" s="69" customFormat="1" x14ac:dyDescent="0.25">
      <c r="A55" s="4" t="s">
        <v>850</v>
      </c>
      <c r="B55" s="4">
        <v>1.1000000000000001</v>
      </c>
      <c r="C55" s="4" t="s">
        <v>163</v>
      </c>
      <c r="D55" s="14" t="s">
        <v>1043</v>
      </c>
      <c r="E55" s="34" t="s">
        <v>29</v>
      </c>
      <c r="F55" s="34" t="s">
        <v>29</v>
      </c>
      <c r="G55" s="158">
        <v>0.9</v>
      </c>
      <c r="H55" s="156" t="s">
        <v>888</v>
      </c>
      <c r="I55" s="156">
        <v>1</v>
      </c>
      <c r="J55" s="157">
        <f>900/140</f>
        <v>6.4285714285714288</v>
      </c>
      <c r="K55" s="158">
        <f t="shared" si="0"/>
        <v>0.13999999999999999</v>
      </c>
      <c r="L55" s="14" t="s">
        <v>1044</v>
      </c>
      <c r="M55" s="4" t="s">
        <v>890</v>
      </c>
      <c r="N55"/>
      <c r="O55"/>
      <c r="P55"/>
      <c r="Q55"/>
    </row>
    <row r="56" spans="1:17" s="69" customFormat="1" x14ac:dyDescent="0.25">
      <c r="A56" s="4" t="s">
        <v>850</v>
      </c>
      <c r="B56" s="4">
        <v>1.1000000000000001</v>
      </c>
      <c r="C56" s="4" t="s">
        <v>163</v>
      </c>
      <c r="D56" s="14" t="s">
        <v>1045</v>
      </c>
      <c r="E56" s="34" t="s">
        <v>29</v>
      </c>
      <c r="F56" s="34" t="s">
        <v>29</v>
      </c>
      <c r="G56" s="158">
        <v>1</v>
      </c>
      <c r="H56" s="156" t="s">
        <v>1046</v>
      </c>
      <c r="I56" s="156">
        <v>1</v>
      </c>
      <c r="J56" s="157">
        <f>1250/480</f>
        <v>2.6041666666666665</v>
      </c>
      <c r="K56" s="156">
        <f t="shared" si="0"/>
        <v>0.38400000000000001</v>
      </c>
      <c r="L56" s="14" t="s">
        <v>1047</v>
      </c>
      <c r="M56" s="4" t="s">
        <v>1048</v>
      </c>
      <c r="N56"/>
      <c r="O56"/>
      <c r="P56"/>
      <c r="Q56"/>
    </row>
    <row r="57" spans="1:17" s="69" customFormat="1" x14ac:dyDescent="0.25">
      <c r="A57" s="4" t="s">
        <v>850</v>
      </c>
      <c r="B57" s="4">
        <v>1.1000000000000001</v>
      </c>
      <c r="C57" s="4" t="s">
        <v>163</v>
      </c>
      <c r="D57" s="14" t="s">
        <v>1049</v>
      </c>
      <c r="E57" s="34" t="s">
        <v>29</v>
      </c>
      <c r="F57" s="34" t="s">
        <v>29</v>
      </c>
      <c r="G57" s="158">
        <v>1</v>
      </c>
      <c r="H57" s="156" t="s">
        <v>877</v>
      </c>
      <c r="I57" s="156">
        <v>1</v>
      </c>
      <c r="J57" s="157">
        <v>4</v>
      </c>
      <c r="K57" s="156">
        <f t="shared" si="0"/>
        <v>0.25</v>
      </c>
      <c r="L57" s="14" t="s">
        <v>1050</v>
      </c>
      <c r="M57" s="4" t="s">
        <v>1051</v>
      </c>
      <c r="N57"/>
      <c r="O57"/>
      <c r="P57"/>
      <c r="Q57"/>
    </row>
    <row r="58" spans="1:17" s="69" customFormat="1" ht="22.5" x14ac:dyDescent="0.25">
      <c r="A58" s="4" t="s">
        <v>850</v>
      </c>
      <c r="B58" s="4">
        <v>1.1000000000000001</v>
      </c>
      <c r="C58" s="4" t="s">
        <v>163</v>
      </c>
      <c r="D58" s="14" t="s">
        <v>1052</v>
      </c>
      <c r="E58" s="34" t="s">
        <v>29</v>
      </c>
      <c r="F58" s="34" t="s">
        <v>29</v>
      </c>
      <c r="G58" s="158">
        <v>1</v>
      </c>
      <c r="H58" s="156" t="s">
        <v>888</v>
      </c>
      <c r="I58" s="156">
        <v>1</v>
      </c>
      <c r="J58" s="157">
        <f>900/165</f>
        <v>5.4545454545454541</v>
      </c>
      <c r="K58" s="158">
        <f t="shared" si="0"/>
        <v>0.18333333333333335</v>
      </c>
      <c r="L58" s="14" t="s">
        <v>1053</v>
      </c>
      <c r="M58" s="4" t="s">
        <v>895</v>
      </c>
      <c r="N58"/>
      <c r="O58"/>
      <c r="P58"/>
      <c r="Q58"/>
    </row>
    <row r="59" spans="1:17" s="69" customFormat="1" ht="22.5" x14ac:dyDescent="0.25">
      <c r="A59" s="4" t="s">
        <v>850</v>
      </c>
      <c r="B59" s="4">
        <v>1.1000000000000001</v>
      </c>
      <c r="C59" s="4" t="s">
        <v>163</v>
      </c>
      <c r="D59" s="14" t="s">
        <v>893</v>
      </c>
      <c r="E59" s="34" t="s">
        <v>29</v>
      </c>
      <c r="F59" s="34" t="s">
        <v>29</v>
      </c>
      <c r="G59" s="158">
        <v>0.8</v>
      </c>
      <c r="H59" s="156" t="s">
        <v>888</v>
      </c>
      <c r="I59" s="156">
        <v>1</v>
      </c>
      <c r="J59" s="157">
        <f>900/145</f>
        <v>6.2068965517241379</v>
      </c>
      <c r="K59" s="158">
        <f t="shared" si="0"/>
        <v>0.12888888888888889</v>
      </c>
      <c r="L59" s="14" t="s">
        <v>1054</v>
      </c>
      <c r="M59" s="4" t="s">
        <v>1055</v>
      </c>
      <c r="N59"/>
      <c r="O59"/>
      <c r="P59"/>
      <c r="Q59"/>
    </row>
    <row r="60" spans="1:17" s="69" customFormat="1" x14ac:dyDescent="0.25">
      <c r="A60" s="4" t="s">
        <v>850</v>
      </c>
      <c r="B60" s="4">
        <v>1.1000000000000001</v>
      </c>
      <c r="C60" s="4" t="s">
        <v>163</v>
      </c>
      <c r="D60" s="14" t="s">
        <v>891</v>
      </c>
      <c r="E60" s="34" t="s">
        <v>29</v>
      </c>
      <c r="F60" s="34" t="s">
        <v>29</v>
      </c>
      <c r="G60" s="158">
        <v>0.8</v>
      </c>
      <c r="H60" s="156" t="s">
        <v>877</v>
      </c>
      <c r="I60" s="156">
        <v>1</v>
      </c>
      <c r="J60" s="157">
        <f>1000/200</f>
        <v>5</v>
      </c>
      <c r="K60" s="158">
        <f t="shared" si="0"/>
        <v>0.16</v>
      </c>
      <c r="L60" s="14" t="s">
        <v>1056</v>
      </c>
      <c r="M60" s="4" t="s">
        <v>1057</v>
      </c>
      <c r="N60"/>
      <c r="O60"/>
      <c r="P60"/>
      <c r="Q60"/>
    </row>
    <row r="61" spans="1:17" s="69" customFormat="1" x14ac:dyDescent="0.25">
      <c r="A61" s="4" t="s">
        <v>850</v>
      </c>
      <c r="B61" s="4">
        <v>1.1000000000000001</v>
      </c>
      <c r="C61" s="4" t="s">
        <v>163</v>
      </c>
      <c r="D61" s="14" t="s">
        <v>1058</v>
      </c>
      <c r="E61" s="34" t="s">
        <v>29</v>
      </c>
      <c r="F61" s="34" t="s">
        <v>29</v>
      </c>
      <c r="G61" s="158">
        <f>0.0004*610</f>
        <v>0.24400000000000002</v>
      </c>
      <c r="H61" s="156" t="s">
        <v>1059</v>
      </c>
      <c r="I61" s="156">
        <v>1</v>
      </c>
      <c r="J61" s="157">
        <v>1</v>
      </c>
      <c r="K61" s="158">
        <f t="shared" si="0"/>
        <v>0.24400000000000002</v>
      </c>
      <c r="L61" s="14" t="s">
        <v>1060</v>
      </c>
      <c r="M61" s="4" t="s">
        <v>1061</v>
      </c>
      <c r="N61"/>
      <c r="O61"/>
      <c r="P61"/>
      <c r="Q61"/>
    </row>
    <row r="62" spans="1:17" s="69" customFormat="1" x14ac:dyDescent="0.25">
      <c r="A62" s="4" t="s">
        <v>850</v>
      </c>
      <c r="B62" s="4">
        <v>1.1000000000000001</v>
      </c>
      <c r="C62" s="4" t="s">
        <v>163</v>
      </c>
      <c r="D62" s="14" t="s">
        <v>896</v>
      </c>
      <c r="E62" s="34" t="s">
        <v>29</v>
      </c>
      <c r="F62" s="34" t="s">
        <v>29</v>
      </c>
      <c r="G62" s="156">
        <v>1.49</v>
      </c>
      <c r="H62" s="156" t="s">
        <v>877</v>
      </c>
      <c r="I62" s="156">
        <v>1</v>
      </c>
      <c r="J62" s="157">
        <f>1000/80</f>
        <v>12.5</v>
      </c>
      <c r="K62" s="158">
        <f t="shared" si="0"/>
        <v>0.1192</v>
      </c>
      <c r="L62" s="14" t="s">
        <v>892</v>
      </c>
      <c r="M62" s="4" t="s">
        <v>897</v>
      </c>
      <c r="N62"/>
      <c r="O62"/>
      <c r="P62"/>
      <c r="Q62"/>
    </row>
    <row r="63" spans="1:17" s="69" customFormat="1" x14ac:dyDescent="0.25">
      <c r="A63" s="4" t="s">
        <v>850</v>
      </c>
      <c r="B63" s="4">
        <v>1.1000000000000001</v>
      </c>
      <c r="C63" s="4" t="s">
        <v>163</v>
      </c>
      <c r="D63" s="14" t="s">
        <v>1062</v>
      </c>
      <c r="E63" s="34" t="s">
        <v>29</v>
      </c>
      <c r="F63" s="34" t="s">
        <v>29</v>
      </c>
      <c r="G63" s="158">
        <f>0.00085*165</f>
        <v>0.14024999999999999</v>
      </c>
      <c r="H63" s="156" t="s">
        <v>1063</v>
      </c>
      <c r="I63" s="156">
        <v>1</v>
      </c>
      <c r="J63" s="157">
        <v>1</v>
      </c>
      <c r="K63" s="158">
        <f t="shared" si="0"/>
        <v>0.14024999999999999</v>
      </c>
      <c r="L63" s="14" t="s">
        <v>1064</v>
      </c>
      <c r="M63" s="39" t="s">
        <v>1065</v>
      </c>
      <c r="N63"/>
      <c r="O63"/>
      <c r="P63"/>
      <c r="Q63"/>
    </row>
    <row r="64" spans="1:17" s="69" customFormat="1" ht="22.5" x14ac:dyDescent="0.25">
      <c r="A64" s="4" t="s">
        <v>850</v>
      </c>
      <c r="B64" s="4">
        <v>1.1000000000000001</v>
      </c>
      <c r="C64" s="4" t="s">
        <v>163</v>
      </c>
      <c r="D64" s="14" t="s">
        <v>1066</v>
      </c>
      <c r="E64" s="34" t="s">
        <v>29</v>
      </c>
      <c r="F64" s="34" t="s">
        <v>29</v>
      </c>
      <c r="G64" s="158">
        <v>0.5</v>
      </c>
      <c r="H64" s="156" t="s">
        <v>883</v>
      </c>
      <c r="I64" s="156">
        <v>1</v>
      </c>
      <c r="J64" s="157">
        <v>3</v>
      </c>
      <c r="K64" s="158">
        <f t="shared" si="0"/>
        <v>0.16666666666666666</v>
      </c>
      <c r="L64" s="14" t="s">
        <v>1067</v>
      </c>
      <c r="M64" s="14" t="s">
        <v>884</v>
      </c>
      <c r="N64"/>
      <c r="O64"/>
      <c r="P64"/>
      <c r="Q64"/>
    </row>
    <row r="65" spans="1:17" s="69" customFormat="1" x14ac:dyDescent="0.25">
      <c r="A65" s="4" t="s">
        <v>850</v>
      </c>
      <c r="B65" s="4">
        <v>1.1000000000000001</v>
      </c>
      <c r="C65" s="4" t="s">
        <v>163</v>
      </c>
      <c r="D65" s="14" t="s">
        <v>1068</v>
      </c>
      <c r="E65" s="34" t="s">
        <v>29</v>
      </c>
      <c r="F65" s="34" t="s">
        <v>29</v>
      </c>
      <c r="G65" s="158">
        <f>0.00083*404</f>
        <v>0.33532000000000001</v>
      </c>
      <c r="H65" s="156" t="s">
        <v>1069</v>
      </c>
      <c r="I65" s="156">
        <v>1</v>
      </c>
      <c r="J65" s="157">
        <v>1</v>
      </c>
      <c r="K65" s="158">
        <f t="shared" si="0"/>
        <v>0.33532000000000001</v>
      </c>
      <c r="L65" s="14" t="s">
        <v>1070</v>
      </c>
      <c r="M65" s="4" t="s">
        <v>1071</v>
      </c>
      <c r="N65"/>
      <c r="O65"/>
      <c r="P65"/>
      <c r="Q65"/>
    </row>
    <row r="66" spans="1:17" s="69" customFormat="1" x14ac:dyDescent="0.25">
      <c r="A66" s="4" t="s">
        <v>850</v>
      </c>
      <c r="B66" s="4">
        <v>1.1000000000000001</v>
      </c>
      <c r="C66" s="4" t="s">
        <v>163</v>
      </c>
      <c r="D66" s="14" t="s">
        <v>1072</v>
      </c>
      <c r="E66" s="34" t="s">
        <v>29</v>
      </c>
      <c r="F66" s="34" t="s">
        <v>29</v>
      </c>
      <c r="G66" s="158">
        <v>1.5</v>
      </c>
      <c r="H66" s="156" t="s">
        <v>888</v>
      </c>
      <c r="I66" s="156">
        <v>1</v>
      </c>
      <c r="J66" s="157">
        <f>900/60</f>
        <v>15</v>
      </c>
      <c r="K66" s="158">
        <f t="shared" si="0"/>
        <v>0.1</v>
      </c>
      <c r="L66" s="14" t="s">
        <v>889</v>
      </c>
      <c r="M66" s="4" t="s">
        <v>1073</v>
      </c>
      <c r="N66"/>
      <c r="O66"/>
      <c r="P66"/>
      <c r="Q66"/>
    </row>
    <row r="67" spans="1:17" s="69" customFormat="1" x14ac:dyDescent="0.25">
      <c r="A67" s="4" t="s">
        <v>850</v>
      </c>
      <c r="B67" s="4">
        <v>1.1000000000000001</v>
      </c>
      <c r="C67" s="4" t="s">
        <v>163</v>
      </c>
      <c r="D67" s="14" t="s">
        <v>1074</v>
      </c>
      <c r="E67" s="34" t="s">
        <v>29</v>
      </c>
      <c r="F67" s="34" t="s">
        <v>29</v>
      </c>
      <c r="G67" s="156">
        <v>1.05</v>
      </c>
      <c r="H67" s="156" t="s">
        <v>1075</v>
      </c>
      <c r="I67" s="156">
        <v>1</v>
      </c>
      <c r="J67" s="157">
        <v>1</v>
      </c>
      <c r="K67" s="158">
        <f t="shared" si="0"/>
        <v>1.05</v>
      </c>
      <c r="L67" s="14" t="s">
        <v>1076</v>
      </c>
      <c r="M67" s="14" t="s">
        <v>1077</v>
      </c>
      <c r="N67"/>
      <c r="O67"/>
      <c r="P67"/>
      <c r="Q67"/>
    </row>
    <row r="68" spans="1:17" s="69" customFormat="1" ht="22.5" x14ac:dyDescent="0.25">
      <c r="A68" s="4" t="s">
        <v>850</v>
      </c>
      <c r="B68" s="4">
        <v>1.1000000000000001</v>
      </c>
      <c r="C68" s="4" t="s">
        <v>163</v>
      </c>
      <c r="D68" s="14" t="s">
        <v>1078</v>
      </c>
      <c r="E68" s="34" t="s">
        <v>1079</v>
      </c>
      <c r="F68" s="34" t="s">
        <v>29</v>
      </c>
      <c r="G68" s="156">
        <v>1.1000000000000001</v>
      </c>
      <c r="H68" s="156">
        <v>6</v>
      </c>
      <c r="I68" s="156">
        <v>1</v>
      </c>
      <c r="J68" s="157">
        <v>2</v>
      </c>
      <c r="K68" s="158">
        <f t="shared" si="0"/>
        <v>0.55000000000000004</v>
      </c>
      <c r="L68" s="14" t="s">
        <v>1080</v>
      </c>
      <c r="M68" s="4" t="s">
        <v>1081</v>
      </c>
      <c r="N68"/>
      <c r="O68"/>
      <c r="P68"/>
      <c r="Q68"/>
    </row>
    <row r="69" spans="1:17" s="69" customFormat="1" x14ac:dyDescent="0.25">
      <c r="A69" s="4" t="s">
        <v>850</v>
      </c>
      <c r="B69" s="4">
        <v>1.1000000000000001</v>
      </c>
      <c r="C69" s="4" t="s">
        <v>163</v>
      </c>
      <c r="D69" s="14" t="s">
        <v>1082</v>
      </c>
      <c r="E69" s="34" t="s">
        <v>1083</v>
      </c>
      <c r="F69" s="34" t="s">
        <v>29</v>
      </c>
      <c r="G69" s="156">
        <v>2.65</v>
      </c>
      <c r="H69" s="156" t="s">
        <v>885</v>
      </c>
      <c r="I69" s="156">
        <v>1</v>
      </c>
      <c r="J69" s="157">
        <f>700/480</f>
        <v>1.4583333333333333</v>
      </c>
      <c r="K69" s="158">
        <f t="shared" si="0"/>
        <v>1.8171428571428572</v>
      </c>
      <c r="L69" s="14" t="s">
        <v>1047</v>
      </c>
      <c r="M69" s="4" t="s">
        <v>1084</v>
      </c>
      <c r="N69"/>
      <c r="O69"/>
      <c r="P69"/>
      <c r="Q69"/>
    </row>
    <row r="70" spans="1:17" s="69" customFormat="1" x14ac:dyDescent="0.25">
      <c r="A70" s="4" t="s">
        <v>850</v>
      </c>
      <c r="B70" s="4">
        <v>1.1000000000000001</v>
      </c>
      <c r="C70" s="4" t="s">
        <v>163</v>
      </c>
      <c r="D70" s="14" t="s">
        <v>1085</v>
      </c>
      <c r="E70" s="34" t="s">
        <v>29</v>
      </c>
      <c r="F70" s="34" t="s">
        <v>29</v>
      </c>
      <c r="G70" s="158">
        <v>0.7</v>
      </c>
      <c r="H70" s="156" t="s">
        <v>851</v>
      </c>
      <c r="I70" s="156">
        <v>1</v>
      </c>
      <c r="J70" s="157">
        <f>200/10</f>
        <v>20</v>
      </c>
      <c r="K70" s="158">
        <f t="shared" si="0"/>
        <v>3.4999999999999996E-2</v>
      </c>
      <c r="L70" s="14" t="s">
        <v>1086</v>
      </c>
      <c r="M70" s="39" t="s">
        <v>1087</v>
      </c>
      <c r="N70"/>
      <c r="O70"/>
      <c r="P70"/>
      <c r="Q70"/>
    </row>
    <row r="71" spans="1:17" ht="22.5" x14ac:dyDescent="0.25">
      <c r="A71" s="11" t="s">
        <v>1</v>
      </c>
      <c r="B71" s="11" t="s">
        <v>2</v>
      </c>
      <c r="C71" s="11" t="s">
        <v>3</v>
      </c>
      <c r="D71" s="11" t="s">
        <v>5</v>
      </c>
      <c r="E71" s="11" t="s">
        <v>6</v>
      </c>
      <c r="F71" s="11" t="s">
        <v>7</v>
      </c>
      <c r="G71" s="86" t="s">
        <v>8</v>
      </c>
      <c r="H71" s="86" t="s">
        <v>9</v>
      </c>
      <c r="I71" s="11" t="s">
        <v>10</v>
      </c>
      <c r="J71" s="12" t="s">
        <v>11</v>
      </c>
      <c r="K71" s="86" t="s">
        <v>54</v>
      </c>
      <c r="L71" s="86" t="s">
        <v>13</v>
      </c>
      <c r="M71" s="11" t="s">
        <v>14</v>
      </c>
      <c r="N71" s="139"/>
      <c r="O71" s="139"/>
      <c r="P71" s="139"/>
      <c r="Q71" s="139"/>
    </row>
    <row r="72" spans="1:17" s="69" customFormat="1" ht="22.5" x14ac:dyDescent="0.25">
      <c r="A72" s="4" t="s">
        <v>850</v>
      </c>
      <c r="B72" s="4">
        <v>1.1000000000000001</v>
      </c>
      <c r="C72" s="4" t="s">
        <v>163</v>
      </c>
      <c r="D72" s="14" t="s">
        <v>1088</v>
      </c>
      <c r="E72" s="34" t="s">
        <v>29</v>
      </c>
      <c r="F72" s="34" t="s">
        <v>29</v>
      </c>
      <c r="G72" s="156">
        <v>1.75</v>
      </c>
      <c r="H72" s="156" t="s">
        <v>868</v>
      </c>
      <c r="I72" s="156">
        <v>1</v>
      </c>
      <c r="J72" s="157">
        <f>365/84*8</f>
        <v>34.761904761904759</v>
      </c>
      <c r="K72" s="158">
        <f t="shared" ref="K72:K86" si="1">G72*I72/J72</f>
        <v>5.0342465753424659E-2</v>
      </c>
      <c r="L72" s="14" t="s">
        <v>1089</v>
      </c>
      <c r="M72" s="4" t="s">
        <v>1090</v>
      </c>
      <c r="N72"/>
      <c r="O72"/>
      <c r="P72"/>
      <c r="Q72"/>
    </row>
    <row r="73" spans="1:17" s="69" customFormat="1" x14ac:dyDescent="0.25">
      <c r="A73" s="4" t="s">
        <v>850</v>
      </c>
      <c r="B73" s="4">
        <v>1.1000000000000001</v>
      </c>
      <c r="C73" s="4" t="s">
        <v>163</v>
      </c>
      <c r="D73" s="14" t="s">
        <v>1091</v>
      </c>
      <c r="E73" s="34" t="s">
        <v>1092</v>
      </c>
      <c r="F73" s="34" t="s">
        <v>29</v>
      </c>
      <c r="G73" s="156">
        <v>0.65</v>
      </c>
      <c r="H73" s="156" t="s">
        <v>1093</v>
      </c>
      <c r="I73" s="156">
        <v>1</v>
      </c>
      <c r="J73" s="157">
        <f>38/10</f>
        <v>3.8</v>
      </c>
      <c r="K73" s="158">
        <f t="shared" si="1"/>
        <v>0.17105263157894737</v>
      </c>
      <c r="L73" s="14" t="s">
        <v>1094</v>
      </c>
      <c r="M73" s="39" t="s">
        <v>1095</v>
      </c>
      <c r="N73"/>
      <c r="O73"/>
      <c r="P73"/>
      <c r="Q73"/>
    </row>
    <row r="74" spans="1:17" s="69" customFormat="1" ht="22.5" x14ac:dyDescent="0.25">
      <c r="A74" s="4" t="s">
        <v>850</v>
      </c>
      <c r="B74" s="4">
        <v>1.1000000000000001</v>
      </c>
      <c r="C74" s="4" t="s">
        <v>163</v>
      </c>
      <c r="D74" s="14" t="s">
        <v>1096</v>
      </c>
      <c r="E74" s="34" t="s">
        <v>1097</v>
      </c>
      <c r="F74" s="34" t="s">
        <v>29</v>
      </c>
      <c r="G74" s="156">
        <v>0.65</v>
      </c>
      <c r="H74" s="156" t="s">
        <v>877</v>
      </c>
      <c r="I74" s="156">
        <v>1</v>
      </c>
      <c r="J74" s="157">
        <f>365/7</f>
        <v>52.142857142857146</v>
      </c>
      <c r="K74" s="158">
        <f t="shared" si="1"/>
        <v>1.2465753424657534E-2</v>
      </c>
      <c r="L74" s="14" t="s">
        <v>1089</v>
      </c>
      <c r="M74" s="14" t="s">
        <v>1098</v>
      </c>
      <c r="N74"/>
      <c r="O74"/>
      <c r="P74"/>
      <c r="Q74"/>
    </row>
    <row r="75" spans="1:17" s="69" customFormat="1" ht="22.5" x14ac:dyDescent="0.25">
      <c r="A75" s="4" t="s">
        <v>850</v>
      </c>
      <c r="B75" s="4">
        <v>1.1000000000000001</v>
      </c>
      <c r="C75" s="4" t="s">
        <v>163</v>
      </c>
      <c r="D75" s="14" t="s">
        <v>1099</v>
      </c>
      <c r="E75" s="34" t="s">
        <v>1100</v>
      </c>
      <c r="F75" s="34" t="s">
        <v>29</v>
      </c>
      <c r="G75" s="156">
        <v>1.25</v>
      </c>
      <c r="H75" s="156" t="s">
        <v>905</v>
      </c>
      <c r="I75" s="156">
        <v>1</v>
      </c>
      <c r="J75" s="157">
        <f>440/220</f>
        <v>2</v>
      </c>
      <c r="K75" s="158">
        <f t="shared" si="1"/>
        <v>0.625</v>
      </c>
      <c r="L75" s="14" t="s">
        <v>1101</v>
      </c>
      <c r="M75" s="4" t="s">
        <v>1102</v>
      </c>
      <c r="N75"/>
      <c r="O75"/>
      <c r="P75"/>
      <c r="Q75"/>
    </row>
    <row r="76" spans="1:17" s="69" customFormat="1" ht="22.5" x14ac:dyDescent="0.25">
      <c r="A76" s="4" t="s">
        <v>850</v>
      </c>
      <c r="B76" s="4">
        <v>1.1000000000000001</v>
      </c>
      <c r="C76" s="4" t="s">
        <v>163</v>
      </c>
      <c r="D76" s="14" t="s">
        <v>1103</v>
      </c>
      <c r="E76" s="34" t="s">
        <v>29</v>
      </c>
      <c r="F76" s="34" t="s">
        <v>29</v>
      </c>
      <c r="G76" s="158">
        <v>0.7</v>
      </c>
      <c r="H76" s="156" t="s">
        <v>868</v>
      </c>
      <c r="I76" s="156">
        <v>1</v>
      </c>
      <c r="J76" s="157">
        <v>2</v>
      </c>
      <c r="K76" s="158">
        <f t="shared" si="1"/>
        <v>0.35</v>
      </c>
      <c r="L76" s="14" t="s">
        <v>1104</v>
      </c>
      <c r="M76" s="4" t="s">
        <v>1105</v>
      </c>
      <c r="N76"/>
      <c r="O76"/>
      <c r="P76"/>
      <c r="Q76"/>
    </row>
    <row r="77" spans="1:17" s="69" customFormat="1" ht="22.5" x14ac:dyDescent="0.25">
      <c r="A77" s="4" t="s">
        <v>850</v>
      </c>
      <c r="B77" s="4">
        <v>1.1000000000000001</v>
      </c>
      <c r="C77" s="4" t="s">
        <v>163</v>
      </c>
      <c r="D77" s="14" t="s">
        <v>1106</v>
      </c>
      <c r="E77" s="34" t="s">
        <v>29</v>
      </c>
      <c r="F77" s="34" t="s">
        <v>29</v>
      </c>
      <c r="G77" s="158">
        <v>3</v>
      </c>
      <c r="H77" s="156">
        <v>2</v>
      </c>
      <c r="I77" s="156">
        <v>1</v>
      </c>
      <c r="J77" s="157">
        <v>2</v>
      </c>
      <c r="K77" s="158">
        <f t="shared" si="1"/>
        <v>1.5</v>
      </c>
      <c r="L77" s="14" t="s">
        <v>879</v>
      </c>
      <c r="M77" s="14" t="s">
        <v>880</v>
      </c>
      <c r="N77"/>
      <c r="O77"/>
      <c r="P77"/>
      <c r="Q77"/>
    </row>
    <row r="78" spans="1:17" s="69" customFormat="1" ht="22.5" x14ac:dyDescent="0.25">
      <c r="A78" s="4" t="s">
        <v>850</v>
      </c>
      <c r="B78" s="4">
        <v>1.1000000000000001</v>
      </c>
      <c r="C78" s="4" t="s">
        <v>163</v>
      </c>
      <c r="D78" s="14" t="s">
        <v>1107</v>
      </c>
      <c r="E78" s="34" t="s">
        <v>29</v>
      </c>
      <c r="F78" s="34" t="s">
        <v>29</v>
      </c>
      <c r="G78" s="156">
        <v>2.0499999999999998</v>
      </c>
      <c r="H78" s="156" t="s">
        <v>875</v>
      </c>
      <c r="I78" s="156">
        <v>1</v>
      </c>
      <c r="J78" s="157">
        <v>1</v>
      </c>
      <c r="K78" s="158">
        <f t="shared" si="1"/>
        <v>2.0499999999999998</v>
      </c>
      <c r="L78" s="14" t="s">
        <v>1108</v>
      </c>
      <c r="M78" s="4" t="s">
        <v>876</v>
      </c>
      <c r="N78"/>
      <c r="O78"/>
      <c r="P78"/>
      <c r="Q78"/>
    </row>
    <row r="79" spans="1:17" s="69" customFormat="1" x14ac:dyDescent="0.25">
      <c r="A79" s="4" t="s">
        <v>850</v>
      </c>
      <c r="B79" s="4">
        <v>1.1000000000000001</v>
      </c>
      <c r="C79" s="4" t="s">
        <v>163</v>
      </c>
      <c r="D79" s="14" t="s">
        <v>1109</v>
      </c>
      <c r="E79" s="34" t="s">
        <v>29</v>
      </c>
      <c r="F79" s="34" t="s">
        <v>29</v>
      </c>
      <c r="G79" s="158">
        <v>2</v>
      </c>
      <c r="H79" s="156" t="s">
        <v>874</v>
      </c>
      <c r="I79" s="156">
        <v>2</v>
      </c>
      <c r="J79" s="157">
        <f>4/3</f>
        <v>1.3333333333333333</v>
      </c>
      <c r="K79" s="158">
        <f t="shared" si="1"/>
        <v>3</v>
      </c>
      <c r="L79" s="14" t="s">
        <v>1110</v>
      </c>
      <c r="M79" s="4" t="s">
        <v>1111</v>
      </c>
      <c r="N79"/>
      <c r="O79"/>
      <c r="P79"/>
      <c r="Q79"/>
    </row>
    <row r="80" spans="1:17" s="69" customFormat="1" ht="22.5" x14ac:dyDescent="0.25">
      <c r="A80" s="4" t="s">
        <v>850</v>
      </c>
      <c r="B80" s="4">
        <v>1.1000000000000001</v>
      </c>
      <c r="C80" s="4" t="s">
        <v>163</v>
      </c>
      <c r="D80" s="14" t="s">
        <v>1112</v>
      </c>
      <c r="E80" s="34" t="s">
        <v>29</v>
      </c>
      <c r="F80" s="34" t="s">
        <v>29</v>
      </c>
      <c r="G80" s="158">
        <v>3.8</v>
      </c>
      <c r="H80" s="156" t="s">
        <v>904</v>
      </c>
      <c r="I80" s="156">
        <v>1</v>
      </c>
      <c r="J80" s="157">
        <v>1</v>
      </c>
      <c r="K80" s="158">
        <f t="shared" si="1"/>
        <v>3.8</v>
      </c>
      <c r="L80" s="14" t="s">
        <v>1113</v>
      </c>
      <c r="M80" s="4" t="s">
        <v>1114</v>
      </c>
      <c r="N80"/>
      <c r="O80"/>
      <c r="P80"/>
      <c r="Q80"/>
    </row>
    <row r="81" spans="1:17" s="69" customFormat="1" ht="22.5" x14ac:dyDescent="0.25">
      <c r="A81" s="4" t="s">
        <v>850</v>
      </c>
      <c r="B81" s="4">
        <v>1.1000000000000001</v>
      </c>
      <c r="C81" s="4" t="s">
        <v>163</v>
      </c>
      <c r="D81" s="14" t="s">
        <v>1115</v>
      </c>
      <c r="E81" s="34" t="s">
        <v>29</v>
      </c>
      <c r="F81" s="34" t="s">
        <v>29</v>
      </c>
      <c r="G81" s="158">
        <v>1.25</v>
      </c>
      <c r="H81" s="156" t="s">
        <v>877</v>
      </c>
      <c r="I81" s="156">
        <v>1</v>
      </c>
      <c r="J81" s="157">
        <f>1000/118</f>
        <v>8.4745762711864412</v>
      </c>
      <c r="K81" s="158">
        <f t="shared" si="1"/>
        <v>0.14749999999999999</v>
      </c>
      <c r="L81" s="14" t="s">
        <v>1116</v>
      </c>
      <c r="M81" s="14" t="s">
        <v>903</v>
      </c>
      <c r="N81"/>
      <c r="O81"/>
      <c r="P81"/>
      <c r="Q81"/>
    </row>
    <row r="82" spans="1:17" s="69" customFormat="1" x14ac:dyDescent="0.25">
      <c r="A82" s="4" t="s">
        <v>850</v>
      </c>
      <c r="B82" s="4">
        <v>1.1000000000000001</v>
      </c>
      <c r="C82" s="4" t="s">
        <v>163</v>
      </c>
      <c r="D82" s="14" t="s">
        <v>1117</v>
      </c>
      <c r="E82" s="34" t="s">
        <v>29</v>
      </c>
      <c r="F82" s="34" t="s">
        <v>29</v>
      </c>
      <c r="G82" s="158">
        <v>0.7</v>
      </c>
      <c r="H82" s="156" t="s">
        <v>868</v>
      </c>
      <c r="I82" s="156">
        <v>1</v>
      </c>
      <c r="J82" s="157">
        <f>500/87</f>
        <v>5.7471264367816088</v>
      </c>
      <c r="K82" s="158">
        <f t="shared" si="1"/>
        <v>0.12180000000000001</v>
      </c>
      <c r="L82" s="14" t="s">
        <v>1118</v>
      </c>
      <c r="M82" s="14" t="s">
        <v>898</v>
      </c>
      <c r="N82"/>
      <c r="O82"/>
      <c r="P82"/>
      <c r="Q82"/>
    </row>
    <row r="83" spans="1:17" s="69" customFormat="1" ht="22.5" x14ac:dyDescent="0.25">
      <c r="A83" s="4" t="s">
        <v>850</v>
      </c>
      <c r="B83" s="4">
        <v>1.1000000000000001</v>
      </c>
      <c r="C83" s="4" t="s">
        <v>163</v>
      </c>
      <c r="D83" s="14" t="s">
        <v>1119</v>
      </c>
      <c r="E83" s="34" t="s">
        <v>29</v>
      </c>
      <c r="F83" s="34" t="s">
        <v>29</v>
      </c>
      <c r="G83" s="158">
        <v>1.4</v>
      </c>
      <c r="H83" s="156" t="s">
        <v>1120</v>
      </c>
      <c r="I83" s="156">
        <v>1</v>
      </c>
      <c r="J83" s="157">
        <f>950/135</f>
        <v>7.0370370370370372</v>
      </c>
      <c r="K83" s="158">
        <f t="shared" si="1"/>
        <v>0.19894736842105262</v>
      </c>
      <c r="L83" s="14" t="s">
        <v>1121</v>
      </c>
      <c r="M83" s="4" t="s">
        <v>1122</v>
      </c>
      <c r="N83"/>
      <c r="O83"/>
      <c r="P83"/>
      <c r="Q83"/>
    </row>
    <row r="84" spans="1:17" s="69" customFormat="1" x14ac:dyDescent="0.25">
      <c r="A84" s="4" t="s">
        <v>850</v>
      </c>
      <c r="B84" s="4">
        <v>1.1000000000000001</v>
      </c>
      <c r="C84" s="4" t="s">
        <v>163</v>
      </c>
      <c r="D84" s="14" t="s">
        <v>1123</v>
      </c>
      <c r="E84" s="34" t="s">
        <v>29</v>
      </c>
      <c r="F84" s="34" t="s">
        <v>29</v>
      </c>
      <c r="G84" s="158">
        <v>1.8</v>
      </c>
      <c r="H84" s="156" t="s">
        <v>1124</v>
      </c>
      <c r="I84" s="156">
        <v>1</v>
      </c>
      <c r="J84" s="157">
        <f>900/75</f>
        <v>12</v>
      </c>
      <c r="K84" s="158">
        <f t="shared" si="1"/>
        <v>0.15</v>
      </c>
      <c r="L84" s="14" t="s">
        <v>1125</v>
      </c>
      <c r="M84" s="39" t="s">
        <v>1126</v>
      </c>
      <c r="N84"/>
      <c r="O84"/>
      <c r="P84"/>
      <c r="Q84"/>
    </row>
    <row r="85" spans="1:17" s="69" customFormat="1" ht="26.25" customHeight="1" x14ac:dyDescent="0.25">
      <c r="A85" s="4" t="s">
        <v>850</v>
      </c>
      <c r="B85" s="4">
        <v>1.1000000000000001</v>
      </c>
      <c r="C85" s="4" t="s">
        <v>163</v>
      </c>
      <c r="D85" s="14" t="s">
        <v>1127</v>
      </c>
      <c r="E85" s="34" t="s">
        <v>1128</v>
      </c>
      <c r="F85" s="34" t="s">
        <v>29</v>
      </c>
      <c r="G85" s="158">
        <v>5</v>
      </c>
      <c r="H85" s="156">
        <v>8</v>
      </c>
      <c r="I85" s="156">
        <v>1</v>
      </c>
      <c r="J85" s="157">
        <v>8</v>
      </c>
      <c r="K85" s="158">
        <f t="shared" si="1"/>
        <v>0.625</v>
      </c>
      <c r="L85" s="14" t="s">
        <v>1129</v>
      </c>
      <c r="M85" s="14" t="s">
        <v>1130</v>
      </c>
      <c r="N85"/>
      <c r="O85"/>
      <c r="P85"/>
      <c r="Q85"/>
    </row>
    <row r="86" spans="1:17" s="69" customFormat="1" x14ac:dyDescent="0.25">
      <c r="A86" s="17" t="s">
        <v>850</v>
      </c>
      <c r="B86" s="17">
        <v>1.1000000000000001</v>
      </c>
      <c r="C86" s="4" t="s">
        <v>163</v>
      </c>
      <c r="D86" s="14" t="s">
        <v>906</v>
      </c>
      <c r="E86" s="14"/>
      <c r="F86" s="17" t="s">
        <v>29</v>
      </c>
      <c r="G86" s="132">
        <v>35</v>
      </c>
      <c r="H86" s="133"/>
      <c r="I86" s="133">
        <v>1</v>
      </c>
      <c r="J86" s="134">
        <f>365/7</f>
        <v>52.142857142857146</v>
      </c>
      <c r="K86" s="132">
        <f t="shared" si="1"/>
        <v>0.67123287671232867</v>
      </c>
      <c r="L86" s="14"/>
      <c r="M86" s="14" t="s">
        <v>907</v>
      </c>
      <c r="N86"/>
      <c r="O86"/>
      <c r="P86"/>
      <c r="Q86"/>
    </row>
    <row r="87" spans="1:17" s="69" customFormat="1" x14ac:dyDescent="0.25">
      <c r="A87" s="17" t="s">
        <v>850</v>
      </c>
      <c r="B87" s="17">
        <v>1.1000000000000001</v>
      </c>
      <c r="C87" s="4" t="s">
        <v>163</v>
      </c>
      <c r="D87" s="14" t="s">
        <v>908</v>
      </c>
      <c r="E87" s="14"/>
      <c r="F87" s="17"/>
      <c r="G87" s="132">
        <v>50</v>
      </c>
      <c r="H87" s="132"/>
      <c r="I87" s="133">
        <v>1</v>
      </c>
      <c r="J87" s="134">
        <f>365/7</f>
        <v>52.142857142857146</v>
      </c>
      <c r="K87" s="132">
        <f>(G87*I87)/J87</f>
        <v>0.95890410958904104</v>
      </c>
      <c r="L87" s="14"/>
      <c r="M87" s="14" t="s">
        <v>909</v>
      </c>
      <c r="N87"/>
      <c r="O87"/>
      <c r="P87"/>
      <c r="Q87"/>
    </row>
    <row r="88" spans="1:17" s="69" customFormat="1" ht="67.5" x14ac:dyDescent="0.25">
      <c r="A88" s="14" t="s">
        <v>910</v>
      </c>
      <c r="B88" s="14">
        <v>11.1</v>
      </c>
      <c r="C88" s="4" t="s">
        <v>163</v>
      </c>
      <c r="D88" s="14" t="s">
        <v>911</v>
      </c>
      <c r="E88" s="14"/>
      <c r="F88" s="14"/>
      <c r="G88" s="159">
        <v>22.12</v>
      </c>
      <c r="H88" s="160"/>
      <c r="I88" s="160">
        <v>1</v>
      </c>
      <c r="J88" s="161">
        <f>365/84</f>
        <v>4.3452380952380949</v>
      </c>
      <c r="K88" s="132">
        <f>(G88*I88)/J88</f>
        <v>5.0906301369863023</v>
      </c>
      <c r="L88" s="89" t="s">
        <v>912</v>
      </c>
      <c r="M88" s="14" t="s">
        <v>1131</v>
      </c>
      <c r="N88"/>
      <c r="O88"/>
      <c r="P88"/>
      <c r="Q88"/>
    </row>
    <row r="89" spans="1:17" s="69" customFormat="1" ht="56.25" x14ac:dyDescent="0.25">
      <c r="A89" s="14" t="s">
        <v>910</v>
      </c>
      <c r="B89" s="14">
        <v>11.1</v>
      </c>
      <c r="C89" s="4" t="s">
        <v>163</v>
      </c>
      <c r="D89" s="14" t="s">
        <v>913</v>
      </c>
      <c r="E89" s="14"/>
      <c r="F89" s="14"/>
      <c r="G89" s="159">
        <v>12.73</v>
      </c>
      <c r="H89" s="160"/>
      <c r="I89" s="160">
        <v>1</v>
      </c>
      <c r="J89" s="161">
        <v>2</v>
      </c>
      <c r="K89" s="132">
        <f>(G89*I89)/J89</f>
        <v>6.3650000000000002</v>
      </c>
      <c r="L89" s="89" t="s">
        <v>914</v>
      </c>
      <c r="M89" s="52" t="s">
        <v>1132</v>
      </c>
      <c r="N89"/>
      <c r="O89"/>
      <c r="P89"/>
      <c r="Q89"/>
    </row>
    <row r="91" spans="1:17" s="68" customFormat="1" x14ac:dyDescent="0.25">
      <c r="A91" s="39"/>
      <c r="B91" s="4"/>
      <c r="C91" s="39"/>
      <c r="D91" s="4" t="s">
        <v>1180</v>
      </c>
      <c r="E91" s="144">
        <f>SUM(K5:K87)</f>
        <v>50.44543858210281</v>
      </c>
      <c r="F91" s="5"/>
      <c r="G91" s="90"/>
      <c r="H91" s="34"/>
      <c r="I91" s="34"/>
      <c r="J91" s="90"/>
      <c r="K91" s="90"/>
      <c r="L91" s="14"/>
      <c r="M91" s="14"/>
      <c r="N91"/>
      <c r="O91"/>
      <c r="P91"/>
      <c r="Q91"/>
    </row>
    <row r="92" spans="1:17" s="68" customFormat="1" x14ac:dyDescent="0.25">
      <c r="A92" s="39"/>
      <c r="B92" s="4"/>
      <c r="C92" s="39"/>
      <c r="D92" s="14" t="s">
        <v>1181</v>
      </c>
      <c r="E92" s="144">
        <f>SUM(K88:K89)</f>
        <v>11.455630136986303</v>
      </c>
      <c r="F92" s="5"/>
      <c r="G92" s="34"/>
      <c r="H92" s="34"/>
      <c r="I92" s="34"/>
      <c r="J92" s="90"/>
      <c r="K92" s="90"/>
      <c r="L92" s="14"/>
      <c r="M92" s="14"/>
      <c r="N92"/>
      <c r="O92"/>
      <c r="P92"/>
      <c r="Q92"/>
    </row>
    <row r="93" spans="1:17" s="68" customFormat="1" x14ac:dyDescent="0.25">
      <c r="A93" s="39"/>
      <c r="B93" s="4"/>
      <c r="C93" s="39"/>
      <c r="D93" s="14"/>
      <c r="E93" s="4"/>
      <c r="F93" s="4"/>
      <c r="G93" s="87"/>
      <c r="H93" s="4"/>
      <c r="I93" s="34"/>
      <c r="J93" s="90"/>
      <c r="K93" s="90"/>
      <c r="L93" s="14"/>
      <c r="M93" s="4"/>
      <c r="N93"/>
      <c r="O93"/>
      <c r="P93"/>
      <c r="Q93"/>
    </row>
    <row r="94" spans="1:17" s="68" customFormat="1" x14ac:dyDescent="0.25">
      <c r="A94" s="39"/>
      <c r="B94" s="4"/>
      <c r="C94" s="39"/>
      <c r="D94" s="14"/>
      <c r="E94" s="5"/>
      <c r="F94" s="5"/>
      <c r="G94" s="34"/>
      <c r="H94" s="34"/>
      <c r="I94" s="34"/>
      <c r="J94" s="90"/>
      <c r="K94" s="90"/>
      <c r="L94" s="14"/>
      <c r="M94" s="14"/>
      <c r="N94"/>
      <c r="O94"/>
      <c r="P94"/>
      <c r="Q94"/>
    </row>
    <row r="95" spans="1:17" s="68" customFormat="1" x14ac:dyDescent="0.25">
      <c r="A95" s="39"/>
      <c r="B95" s="4"/>
      <c r="C95" s="39"/>
      <c r="D95" s="14"/>
      <c r="E95" s="5"/>
      <c r="F95" s="5"/>
      <c r="G95" s="34"/>
      <c r="H95" s="34"/>
      <c r="I95" s="34"/>
      <c r="J95" s="90"/>
      <c r="K95" s="90"/>
      <c r="L95" s="14"/>
      <c r="M95" s="14"/>
      <c r="N95"/>
      <c r="O95"/>
      <c r="P95"/>
      <c r="Q95"/>
    </row>
    <row r="96" spans="1:17" s="68" customFormat="1" x14ac:dyDescent="0.25">
      <c r="A96" s="39"/>
      <c r="B96" s="4"/>
      <c r="C96" s="39"/>
      <c r="D96" s="14"/>
      <c r="E96" s="5"/>
      <c r="F96" s="5"/>
      <c r="G96" s="34"/>
      <c r="H96" s="34"/>
      <c r="I96" s="34"/>
      <c r="J96" s="90"/>
      <c r="K96" s="90"/>
      <c r="L96" s="14"/>
      <c r="M96" s="14"/>
      <c r="N96"/>
      <c r="O96"/>
      <c r="P96"/>
      <c r="Q96"/>
    </row>
    <row r="97" spans="1:17" s="68" customFormat="1" x14ac:dyDescent="0.25">
      <c r="A97" s="39"/>
      <c r="B97" s="4"/>
      <c r="C97" s="39"/>
      <c r="D97" s="14"/>
      <c r="E97" s="5"/>
      <c r="F97" s="5"/>
      <c r="G97" s="34"/>
      <c r="H97" s="34"/>
      <c r="I97" s="34"/>
      <c r="J97" s="90"/>
      <c r="K97" s="90"/>
      <c r="L97" s="14"/>
      <c r="M97" s="14"/>
      <c r="N97"/>
      <c r="O97"/>
      <c r="P97"/>
      <c r="Q97"/>
    </row>
    <row r="98" spans="1:17" s="68" customFormat="1" x14ac:dyDescent="0.25">
      <c r="A98" s="39"/>
      <c r="B98" s="4"/>
      <c r="C98" s="39"/>
      <c r="D98" s="14"/>
      <c r="E98" s="5"/>
      <c r="F98" s="5"/>
      <c r="G98" s="34"/>
      <c r="H98" s="34"/>
      <c r="I98" s="34"/>
      <c r="J98" s="90"/>
      <c r="K98" s="90"/>
      <c r="L98" s="14"/>
      <c r="M98" s="14"/>
      <c r="N98"/>
      <c r="O98"/>
      <c r="P98"/>
      <c r="Q98"/>
    </row>
    <row r="99" spans="1:17" s="68" customFormat="1" x14ac:dyDescent="0.25">
      <c r="A99" s="39"/>
      <c r="B99" s="4"/>
      <c r="C99" s="39"/>
      <c r="D99" s="14"/>
      <c r="E99" s="5"/>
      <c r="F99" s="5"/>
      <c r="G99" s="34"/>
      <c r="H99" s="34"/>
      <c r="I99" s="34"/>
      <c r="J99" s="90"/>
      <c r="K99" s="90"/>
      <c r="L99" s="14"/>
      <c r="M99" s="14"/>
      <c r="N99"/>
      <c r="O99"/>
      <c r="P99"/>
      <c r="Q99"/>
    </row>
    <row r="100" spans="1:17" s="68" customFormat="1" x14ac:dyDescent="0.25">
      <c r="A100" s="39"/>
      <c r="B100" s="4"/>
      <c r="C100" s="39"/>
      <c r="D100" s="14"/>
      <c r="E100" s="5"/>
      <c r="F100" s="5"/>
      <c r="G100" s="34"/>
      <c r="H100" s="34"/>
      <c r="I100" s="34"/>
      <c r="J100" s="90"/>
      <c r="K100" s="90"/>
      <c r="L100" s="14"/>
      <c r="M100" s="14"/>
      <c r="N100"/>
      <c r="O100"/>
      <c r="P100"/>
      <c r="Q100"/>
    </row>
    <row r="101" spans="1:17" s="68" customFormat="1" x14ac:dyDescent="0.25">
      <c r="A101" s="39"/>
      <c r="B101" s="4"/>
      <c r="C101" s="39"/>
      <c r="D101" s="14"/>
      <c r="E101" s="5"/>
      <c r="F101" s="5"/>
      <c r="G101" s="34"/>
      <c r="H101" s="34"/>
      <c r="I101" s="34"/>
      <c r="J101" s="90"/>
      <c r="K101" s="90"/>
      <c r="L101" s="14"/>
      <c r="M101" s="14"/>
      <c r="N101"/>
      <c r="O101"/>
      <c r="P101"/>
      <c r="Q101"/>
    </row>
    <row r="102" spans="1:17" s="68" customFormat="1" x14ac:dyDescent="0.25">
      <c r="A102" s="39"/>
      <c r="B102" s="4"/>
      <c r="C102" s="39"/>
      <c r="D102" s="14"/>
      <c r="E102" s="5"/>
      <c r="F102" s="5"/>
      <c r="G102" s="34"/>
      <c r="H102" s="34"/>
      <c r="I102" s="34"/>
      <c r="J102" s="90"/>
      <c r="K102" s="90"/>
      <c r="L102" s="14"/>
      <c r="M102" s="14"/>
      <c r="N102"/>
      <c r="O102"/>
      <c r="P102"/>
      <c r="Q102"/>
    </row>
    <row r="103" spans="1:17" s="68" customFormat="1" x14ac:dyDescent="0.25">
      <c r="A103" s="39"/>
      <c r="B103" s="4"/>
      <c r="C103" s="39"/>
      <c r="D103" s="14"/>
      <c r="E103" s="39"/>
      <c r="F103" s="5"/>
      <c r="G103" s="34"/>
      <c r="H103" s="34"/>
      <c r="I103" s="34"/>
      <c r="J103" s="90"/>
      <c r="K103" s="90"/>
      <c r="L103" s="14"/>
      <c r="M103" s="14"/>
      <c r="N103"/>
      <c r="O103"/>
      <c r="P103"/>
      <c r="Q103"/>
    </row>
    <row r="104" spans="1:17" s="68" customFormat="1" x14ac:dyDescent="0.25">
      <c r="A104" s="39"/>
      <c r="B104" s="4"/>
      <c r="C104" s="39"/>
      <c r="D104" s="14"/>
      <c r="E104" s="5"/>
      <c r="F104" s="5"/>
      <c r="G104" s="34"/>
      <c r="H104" s="34"/>
      <c r="I104" s="34"/>
      <c r="J104" s="90"/>
      <c r="K104" s="90"/>
      <c r="L104" s="14"/>
      <c r="M104" s="14"/>
      <c r="N104"/>
      <c r="O104"/>
      <c r="P104"/>
      <c r="Q104"/>
    </row>
    <row r="105" spans="1:17" s="68" customFormat="1" x14ac:dyDescent="0.25">
      <c r="A105" s="39"/>
      <c r="B105" s="4"/>
      <c r="C105" s="39"/>
      <c r="D105" s="14"/>
      <c r="E105" s="5"/>
      <c r="F105" s="5"/>
      <c r="G105" s="34"/>
      <c r="H105" s="34"/>
      <c r="I105" s="34"/>
      <c r="J105" s="90"/>
      <c r="K105" s="90"/>
      <c r="L105" s="14"/>
      <c r="M105" s="14"/>
      <c r="N105"/>
      <c r="O105"/>
      <c r="P105"/>
      <c r="Q105"/>
    </row>
    <row r="106" spans="1:17" s="68" customFormat="1" x14ac:dyDescent="0.25">
      <c r="A106" s="39"/>
      <c r="B106" s="4"/>
      <c r="C106" s="39"/>
      <c r="D106" s="14"/>
      <c r="E106" s="5"/>
      <c r="F106" s="5"/>
      <c r="G106" s="34"/>
      <c r="H106" s="34"/>
      <c r="I106" s="34"/>
      <c r="J106" s="90"/>
      <c r="K106" s="90"/>
      <c r="L106" s="14"/>
      <c r="M106" s="14"/>
      <c r="N106"/>
      <c r="O106"/>
      <c r="P106"/>
      <c r="Q106"/>
    </row>
    <row r="107" spans="1:17" s="68" customFormat="1" x14ac:dyDescent="0.25">
      <c r="A107" s="39"/>
      <c r="B107" s="4"/>
      <c r="C107" s="39"/>
      <c r="D107" s="14"/>
      <c r="E107" s="5"/>
      <c r="F107" s="5"/>
      <c r="G107" s="34"/>
      <c r="H107" s="34"/>
      <c r="I107" s="34"/>
      <c r="J107" s="90"/>
      <c r="K107" s="90"/>
      <c r="L107" s="14"/>
      <c r="M107" s="14"/>
      <c r="N107"/>
      <c r="O107"/>
      <c r="P107"/>
      <c r="Q107"/>
    </row>
    <row r="108" spans="1:17" s="68" customFormat="1" x14ac:dyDescent="0.25">
      <c r="A108" s="39"/>
      <c r="B108" s="4"/>
      <c r="C108" s="39"/>
      <c r="D108" s="14"/>
      <c r="E108" s="5"/>
      <c r="F108" s="5"/>
      <c r="G108" s="34"/>
      <c r="H108" s="34"/>
      <c r="I108" s="34"/>
      <c r="J108" s="90"/>
      <c r="K108" s="90"/>
      <c r="L108" s="14"/>
      <c r="M108" s="14"/>
      <c r="N108"/>
      <c r="O108"/>
      <c r="P108"/>
      <c r="Q108"/>
    </row>
    <row r="109" spans="1:17" s="68" customFormat="1" x14ac:dyDescent="0.25">
      <c r="A109" s="39"/>
      <c r="B109" s="4"/>
      <c r="C109" s="39"/>
      <c r="D109" s="14"/>
      <c r="E109" s="5"/>
      <c r="F109" s="5"/>
      <c r="G109" s="34"/>
      <c r="H109" s="34"/>
      <c r="I109" s="34"/>
      <c r="J109" s="90"/>
      <c r="K109" s="90"/>
      <c r="L109" s="14"/>
      <c r="M109" s="14"/>
      <c r="N109"/>
      <c r="O109"/>
      <c r="P109"/>
      <c r="Q109"/>
    </row>
    <row r="110" spans="1:17" s="68" customFormat="1" x14ac:dyDescent="0.25">
      <c r="A110" s="39"/>
      <c r="B110" s="4"/>
      <c r="C110" s="39"/>
      <c r="D110" s="14"/>
      <c r="E110" s="5"/>
      <c r="F110" s="5"/>
      <c r="G110" s="90"/>
      <c r="H110" s="34"/>
      <c r="I110" s="34"/>
      <c r="J110" s="90"/>
      <c r="K110" s="90"/>
      <c r="L110" s="14"/>
      <c r="M110" s="14"/>
      <c r="N110"/>
      <c r="O110"/>
      <c r="P110"/>
      <c r="Q110"/>
    </row>
    <row r="111" spans="1:17" s="68" customFormat="1" x14ac:dyDescent="0.25">
      <c r="A111" s="39"/>
      <c r="B111" s="4"/>
      <c r="C111" s="39"/>
      <c r="D111" s="14"/>
      <c r="E111" s="5"/>
      <c r="F111" s="5"/>
      <c r="G111" s="34"/>
      <c r="H111" s="34"/>
      <c r="I111" s="34"/>
      <c r="J111" s="90"/>
      <c r="K111" s="90"/>
      <c r="L111" s="14"/>
      <c r="M111" s="14"/>
      <c r="N111"/>
      <c r="O111"/>
      <c r="P111"/>
      <c r="Q111"/>
    </row>
    <row r="112" spans="1:17" s="68" customFormat="1" x14ac:dyDescent="0.25">
      <c r="A112" s="39"/>
      <c r="B112" s="4"/>
      <c r="C112" s="39"/>
      <c r="D112" s="14"/>
      <c r="E112" s="5"/>
      <c r="F112" s="5"/>
      <c r="G112" s="34"/>
      <c r="H112" s="34"/>
      <c r="I112" s="34"/>
      <c r="J112" s="90"/>
      <c r="K112" s="90"/>
      <c r="L112" s="14"/>
      <c r="M112" s="14"/>
      <c r="N112"/>
      <c r="O112"/>
      <c r="P112"/>
      <c r="Q112"/>
    </row>
    <row r="113" spans="1:17" s="68" customFormat="1" x14ac:dyDescent="0.25">
      <c r="A113" s="39"/>
      <c r="B113" s="4"/>
      <c r="C113" s="39"/>
      <c r="D113" s="14"/>
      <c r="E113" s="5"/>
      <c r="F113" s="5"/>
      <c r="G113" s="34"/>
      <c r="H113" s="34"/>
      <c r="I113" s="34"/>
      <c r="J113" s="90"/>
      <c r="K113" s="90"/>
      <c r="L113" s="14"/>
      <c r="M113" s="14"/>
      <c r="N113"/>
      <c r="O113"/>
      <c r="P113"/>
      <c r="Q113"/>
    </row>
    <row r="114" spans="1:17" s="68" customFormat="1" x14ac:dyDescent="0.25">
      <c r="A114" s="39"/>
      <c r="B114" s="4"/>
      <c r="C114" s="39"/>
      <c r="D114" s="14"/>
      <c r="E114" s="5"/>
      <c r="F114" s="5"/>
      <c r="G114" s="34"/>
      <c r="H114" s="34"/>
      <c r="I114" s="34"/>
      <c r="J114" s="90"/>
      <c r="K114" s="90"/>
      <c r="L114" s="14"/>
      <c r="M114" s="14"/>
      <c r="N114"/>
      <c r="O114"/>
      <c r="P114"/>
      <c r="Q114"/>
    </row>
    <row r="115" spans="1:17" s="68" customFormat="1" x14ac:dyDescent="0.25">
      <c r="A115" s="39"/>
      <c r="B115" s="4"/>
      <c r="C115" s="39"/>
      <c r="D115" s="14"/>
      <c r="E115" s="5"/>
      <c r="F115" s="5"/>
      <c r="G115" s="34"/>
      <c r="H115" s="34"/>
      <c r="I115" s="34"/>
      <c r="J115" s="90"/>
      <c r="K115" s="90"/>
      <c r="L115" s="14"/>
      <c r="M115" s="14"/>
      <c r="N115"/>
      <c r="O115"/>
      <c r="P115"/>
      <c r="Q115"/>
    </row>
    <row r="116" spans="1:17" s="68" customFormat="1" x14ac:dyDescent="0.25">
      <c r="A116" s="39"/>
      <c r="B116" s="4"/>
      <c r="C116" s="39"/>
      <c r="D116" s="14"/>
      <c r="E116" s="5"/>
      <c r="F116" s="5"/>
      <c r="G116" s="34"/>
      <c r="H116" s="34"/>
      <c r="I116" s="34"/>
      <c r="J116" s="90"/>
      <c r="K116" s="90"/>
      <c r="L116" s="14"/>
      <c r="M116" s="14"/>
      <c r="N116"/>
      <c r="O116"/>
      <c r="P116"/>
      <c r="Q116"/>
    </row>
    <row r="117" spans="1:17" s="68" customFormat="1" x14ac:dyDescent="0.25">
      <c r="A117" s="39"/>
      <c r="B117" s="4"/>
      <c r="C117" s="39"/>
      <c r="D117" s="14"/>
      <c r="E117" s="5"/>
      <c r="F117" s="5"/>
      <c r="G117" s="34"/>
      <c r="H117" s="34"/>
      <c r="I117" s="34"/>
      <c r="J117" s="90"/>
      <c r="K117" s="90"/>
      <c r="L117" s="14"/>
      <c r="M117" s="39"/>
      <c r="N117"/>
      <c r="O117"/>
      <c r="P117"/>
      <c r="Q117"/>
    </row>
    <row r="118" spans="1:17" s="68" customFormat="1" x14ac:dyDescent="0.25">
      <c r="A118" s="39"/>
      <c r="B118" s="4"/>
      <c r="C118" s="39"/>
      <c r="D118" s="14"/>
      <c r="E118" s="5"/>
      <c r="F118" s="5"/>
      <c r="G118" s="34"/>
      <c r="H118" s="34"/>
      <c r="I118" s="34"/>
      <c r="J118" s="90"/>
      <c r="K118" s="90"/>
      <c r="L118" s="14"/>
      <c r="M118" s="39"/>
      <c r="N118"/>
      <c r="O118"/>
      <c r="P118"/>
      <c r="Q118"/>
    </row>
    <row r="119" spans="1:17" s="68" customFormat="1" x14ac:dyDescent="0.25">
      <c r="A119" s="39"/>
      <c r="B119" s="4"/>
      <c r="C119" s="39"/>
      <c r="D119" s="14"/>
      <c r="E119" s="5"/>
      <c r="F119" s="5"/>
      <c r="G119" s="34"/>
      <c r="H119" s="34"/>
      <c r="I119" s="34"/>
      <c r="J119" s="90"/>
      <c r="K119" s="90"/>
      <c r="L119" s="14"/>
      <c r="M119" s="39"/>
      <c r="N119"/>
      <c r="O119"/>
      <c r="P119"/>
      <c r="Q119"/>
    </row>
    <row r="120" spans="1:17" s="68" customFormat="1" x14ac:dyDescent="0.25">
      <c r="A120" s="39"/>
      <c r="B120" s="4"/>
      <c r="C120" s="39"/>
      <c r="D120" s="14"/>
      <c r="E120" s="5"/>
      <c r="F120" s="5"/>
      <c r="G120" s="34"/>
      <c r="H120" s="34"/>
      <c r="I120" s="34"/>
      <c r="J120" s="90"/>
      <c r="K120" s="90"/>
      <c r="L120" s="14"/>
      <c r="M120" s="39"/>
      <c r="N120"/>
      <c r="O120"/>
      <c r="P120"/>
      <c r="Q120"/>
    </row>
    <row r="121" spans="1:17" s="68" customFormat="1" x14ac:dyDescent="0.25">
      <c r="A121" s="39"/>
      <c r="B121" s="4"/>
      <c r="C121" s="39"/>
      <c r="D121" s="14"/>
      <c r="E121" s="5"/>
      <c r="F121" s="5"/>
      <c r="G121" s="34"/>
      <c r="H121" s="34"/>
      <c r="I121" s="34"/>
      <c r="J121" s="90"/>
      <c r="K121" s="90"/>
      <c r="L121" s="14"/>
      <c r="M121" s="39"/>
      <c r="N121"/>
      <c r="O121"/>
      <c r="P121"/>
      <c r="Q121"/>
    </row>
    <row r="122" spans="1:17" s="68" customFormat="1" x14ac:dyDescent="0.25">
      <c r="A122" s="39"/>
      <c r="B122" s="4"/>
      <c r="C122" s="39"/>
      <c r="D122" s="14"/>
      <c r="E122" s="5"/>
      <c r="F122" s="5"/>
      <c r="G122" s="34"/>
      <c r="H122" s="34"/>
      <c r="I122" s="34"/>
      <c r="J122" s="90"/>
      <c r="K122" s="90"/>
      <c r="L122" s="14"/>
      <c r="M122" s="39"/>
      <c r="N122"/>
      <c r="O122"/>
      <c r="P122"/>
      <c r="Q122"/>
    </row>
    <row r="123" spans="1:17" s="68" customFormat="1" x14ac:dyDescent="0.25">
      <c r="A123" s="39"/>
      <c r="B123" s="4"/>
      <c r="C123" s="39"/>
      <c r="D123" s="14"/>
      <c r="E123" s="5"/>
      <c r="F123" s="5"/>
      <c r="G123" s="34"/>
      <c r="H123" s="34"/>
      <c r="I123" s="34"/>
      <c r="J123" s="90"/>
      <c r="K123" s="90"/>
      <c r="L123" s="14"/>
      <c r="M123" s="39"/>
      <c r="N123"/>
      <c r="O123"/>
      <c r="P123"/>
      <c r="Q123"/>
    </row>
    <row r="124" spans="1:17" s="68" customFormat="1" x14ac:dyDescent="0.25">
      <c r="A124" s="39"/>
      <c r="B124" s="4"/>
      <c r="C124" s="39"/>
      <c r="D124" s="14"/>
      <c r="E124" s="5"/>
      <c r="F124" s="5"/>
      <c r="G124" s="34"/>
      <c r="H124" s="34"/>
      <c r="I124" s="34"/>
      <c r="J124" s="90"/>
      <c r="K124" s="90"/>
      <c r="L124" s="14"/>
      <c r="M124" s="39"/>
      <c r="N124"/>
      <c r="O124"/>
      <c r="P124"/>
      <c r="Q124"/>
    </row>
    <row r="125" spans="1:17" s="68" customFormat="1" x14ac:dyDescent="0.25">
      <c r="A125" s="39"/>
      <c r="B125" s="4"/>
      <c r="C125" s="39"/>
      <c r="D125" s="14"/>
      <c r="E125" s="5"/>
      <c r="F125" s="5"/>
      <c r="G125" s="34"/>
      <c r="H125" s="34"/>
      <c r="I125" s="34"/>
      <c r="J125" s="90"/>
      <c r="K125" s="90"/>
      <c r="L125" s="14"/>
      <c r="M125" s="39"/>
      <c r="N125"/>
      <c r="O125"/>
      <c r="P125"/>
      <c r="Q125"/>
    </row>
    <row r="126" spans="1:17" s="68" customFormat="1" x14ac:dyDescent="0.25">
      <c r="A126" s="39"/>
      <c r="B126" s="4"/>
      <c r="C126" s="39"/>
      <c r="D126" s="14"/>
      <c r="E126" s="5"/>
      <c r="F126" s="5"/>
      <c r="G126" s="34"/>
      <c r="H126" s="34"/>
      <c r="I126" s="34"/>
      <c r="J126" s="90"/>
      <c r="K126" s="90"/>
      <c r="L126" s="14"/>
      <c r="M126" s="39"/>
      <c r="N126"/>
      <c r="O126"/>
      <c r="P126"/>
      <c r="Q126"/>
    </row>
    <row r="127" spans="1:17" s="68" customFormat="1" x14ac:dyDescent="0.25">
      <c r="A127" s="39"/>
      <c r="B127" s="4"/>
      <c r="C127" s="39"/>
      <c r="D127" s="14"/>
      <c r="E127" s="5"/>
      <c r="F127" s="5"/>
      <c r="G127" s="34"/>
      <c r="H127" s="34"/>
      <c r="I127" s="34"/>
      <c r="J127" s="90"/>
      <c r="K127" s="90"/>
      <c r="L127" s="14"/>
      <c r="M127" s="39"/>
      <c r="N127"/>
      <c r="O127"/>
      <c r="P127"/>
      <c r="Q127"/>
    </row>
    <row r="128" spans="1:17" s="68" customFormat="1" x14ac:dyDescent="0.25">
      <c r="A128" s="39"/>
      <c r="B128" s="4"/>
      <c r="C128" s="39"/>
      <c r="D128" s="14"/>
      <c r="E128" s="5"/>
      <c r="F128" s="5"/>
      <c r="G128" s="34"/>
      <c r="H128" s="34"/>
      <c r="I128" s="34"/>
      <c r="J128" s="90"/>
      <c r="K128" s="90"/>
      <c r="L128" s="14"/>
      <c r="M128" s="39"/>
      <c r="N128"/>
      <c r="O128"/>
      <c r="P128"/>
      <c r="Q128"/>
    </row>
    <row r="129" spans="1:17" s="68" customFormat="1" x14ac:dyDescent="0.25">
      <c r="A129" s="39"/>
      <c r="B129" s="4"/>
      <c r="C129" s="39"/>
      <c r="D129" s="14"/>
      <c r="E129" s="5"/>
      <c r="F129" s="5"/>
      <c r="G129" s="34"/>
      <c r="H129" s="34"/>
      <c r="I129" s="34"/>
      <c r="J129" s="90"/>
      <c r="K129" s="90"/>
      <c r="L129" s="14"/>
      <c r="M129" s="39"/>
      <c r="N129"/>
      <c r="O129"/>
      <c r="P129"/>
      <c r="Q129"/>
    </row>
    <row r="130" spans="1:17" s="68" customFormat="1" x14ac:dyDescent="0.25">
      <c r="A130" s="39"/>
      <c r="B130" s="4"/>
      <c r="C130" s="39"/>
      <c r="D130" s="14"/>
      <c r="E130" s="5"/>
      <c r="F130" s="5"/>
      <c r="G130" s="34"/>
      <c r="H130" s="34"/>
      <c r="I130" s="34"/>
      <c r="J130" s="90"/>
      <c r="K130" s="90"/>
      <c r="L130" s="14"/>
      <c r="M130" s="39"/>
      <c r="N130"/>
      <c r="O130"/>
      <c r="P130"/>
      <c r="Q130"/>
    </row>
    <row r="131" spans="1:17" s="68" customFormat="1" x14ac:dyDescent="0.25">
      <c r="A131" s="39"/>
      <c r="B131" s="4"/>
      <c r="C131" s="39"/>
      <c r="D131" s="14"/>
      <c r="E131" s="5"/>
      <c r="F131" s="5"/>
      <c r="G131" s="34"/>
      <c r="H131" s="34"/>
      <c r="I131" s="34"/>
      <c r="J131" s="90"/>
      <c r="K131" s="90"/>
      <c r="L131" s="14"/>
      <c r="M131" s="39"/>
      <c r="N131"/>
      <c r="O131"/>
      <c r="P131"/>
      <c r="Q131"/>
    </row>
    <row r="132" spans="1:17" s="68" customFormat="1" x14ac:dyDescent="0.25">
      <c r="A132" s="39"/>
      <c r="B132" s="4"/>
      <c r="C132" s="39"/>
      <c r="D132" s="14"/>
      <c r="E132" s="5"/>
      <c r="F132" s="5"/>
      <c r="G132" s="34"/>
      <c r="H132" s="34"/>
      <c r="I132" s="34"/>
      <c r="J132" s="90"/>
      <c r="K132" s="90"/>
      <c r="L132" s="14"/>
      <c r="M132" s="39"/>
      <c r="N132"/>
      <c r="O132"/>
      <c r="P132"/>
      <c r="Q132"/>
    </row>
    <row r="133" spans="1:17" s="68" customFormat="1" x14ac:dyDescent="0.25">
      <c r="A133" s="39"/>
      <c r="B133" s="4"/>
      <c r="C133" s="39"/>
      <c r="D133" s="14"/>
      <c r="E133" s="5"/>
      <c r="F133" s="5"/>
      <c r="G133" s="34"/>
      <c r="H133" s="34"/>
      <c r="I133" s="34"/>
      <c r="J133" s="90"/>
      <c r="K133" s="90"/>
      <c r="L133" s="14"/>
      <c r="M133" s="39"/>
      <c r="N133"/>
      <c r="O133"/>
      <c r="P133"/>
      <c r="Q133"/>
    </row>
    <row r="134" spans="1:17" s="68" customFormat="1" x14ac:dyDescent="0.25">
      <c r="A134" s="39"/>
      <c r="B134" s="4"/>
      <c r="C134" s="39"/>
      <c r="D134" s="14"/>
      <c r="E134" s="5"/>
      <c r="F134" s="5"/>
      <c r="G134" s="34"/>
      <c r="H134" s="34"/>
      <c r="I134" s="34"/>
      <c r="J134" s="90"/>
      <c r="K134" s="90"/>
      <c r="L134" s="14"/>
      <c r="M134" s="39"/>
      <c r="N134"/>
      <c r="O134"/>
      <c r="P134"/>
      <c r="Q134"/>
    </row>
    <row r="135" spans="1:17" s="68" customFormat="1" x14ac:dyDescent="0.25">
      <c r="A135" s="39"/>
      <c r="B135" s="4"/>
      <c r="C135" s="39"/>
      <c r="D135" s="14"/>
      <c r="E135" s="5"/>
      <c r="F135" s="5"/>
      <c r="G135" s="34"/>
      <c r="H135" s="34"/>
      <c r="I135" s="34"/>
      <c r="J135" s="90"/>
      <c r="K135" s="90"/>
      <c r="L135" s="14"/>
      <c r="M135" s="39"/>
      <c r="N135"/>
      <c r="O135"/>
      <c r="P135"/>
      <c r="Q135"/>
    </row>
    <row r="136" spans="1:17" s="68" customFormat="1" x14ac:dyDescent="0.25">
      <c r="A136" s="39"/>
      <c r="B136" s="4"/>
      <c r="C136" s="39"/>
      <c r="D136" s="14"/>
      <c r="E136" s="5"/>
      <c r="F136" s="5"/>
      <c r="G136" s="34"/>
      <c r="H136" s="34"/>
      <c r="I136" s="34"/>
      <c r="J136" s="90"/>
      <c r="K136" s="90"/>
      <c r="L136" s="14"/>
      <c r="M136" s="39"/>
      <c r="N136"/>
      <c r="O136"/>
      <c r="P136"/>
      <c r="Q136"/>
    </row>
    <row r="137" spans="1:17" s="68" customFormat="1" x14ac:dyDescent="0.25">
      <c r="A137" s="39"/>
      <c r="B137" s="4"/>
      <c r="C137" s="39"/>
      <c r="D137" s="14"/>
      <c r="E137" s="5"/>
      <c r="F137" s="5"/>
      <c r="G137" s="34"/>
      <c r="H137" s="34"/>
      <c r="I137" s="34"/>
      <c r="J137" s="90"/>
      <c r="K137" s="90"/>
      <c r="L137" s="14"/>
      <c r="M137" s="39"/>
      <c r="N137"/>
      <c r="O137"/>
      <c r="P137"/>
      <c r="Q137"/>
    </row>
    <row r="138" spans="1:17" s="68" customFormat="1" x14ac:dyDescent="0.25">
      <c r="A138" s="39"/>
      <c r="B138" s="4"/>
      <c r="C138" s="39"/>
      <c r="D138" s="14"/>
      <c r="E138" s="5"/>
      <c r="F138" s="5"/>
      <c r="G138" s="34"/>
      <c r="H138" s="34"/>
      <c r="I138" s="34"/>
      <c r="J138" s="90"/>
      <c r="K138" s="90"/>
      <c r="L138" s="14"/>
      <c r="M138" s="39"/>
      <c r="N138"/>
      <c r="O138"/>
      <c r="P138"/>
      <c r="Q138"/>
    </row>
    <row r="139" spans="1:17" s="68" customFormat="1" x14ac:dyDescent="0.25">
      <c r="A139" s="39"/>
      <c r="B139" s="4"/>
      <c r="C139" s="39"/>
      <c r="D139" s="14"/>
      <c r="E139" s="5"/>
      <c r="F139" s="5"/>
      <c r="G139" s="34"/>
      <c r="H139" s="34"/>
      <c r="I139" s="34"/>
      <c r="J139" s="90"/>
      <c r="K139" s="90"/>
      <c r="L139" s="14"/>
      <c r="M139" s="39"/>
      <c r="N139"/>
      <c r="O139"/>
      <c r="P139"/>
      <c r="Q139"/>
    </row>
    <row r="140" spans="1:17" s="68" customFormat="1" x14ac:dyDescent="0.25">
      <c r="A140" s="39"/>
      <c r="B140" s="4"/>
      <c r="C140" s="39"/>
      <c r="D140" s="14"/>
      <c r="E140" s="5"/>
      <c r="F140" s="5"/>
      <c r="G140" s="34"/>
      <c r="H140" s="34"/>
      <c r="I140" s="34"/>
      <c r="J140" s="90"/>
      <c r="K140" s="90"/>
      <c r="L140" s="14"/>
      <c r="M140" s="39"/>
      <c r="N140"/>
      <c r="O140"/>
      <c r="P140"/>
      <c r="Q140"/>
    </row>
    <row r="141" spans="1:17" s="68" customFormat="1" x14ac:dyDescent="0.25">
      <c r="A141" s="39"/>
      <c r="B141" s="4"/>
      <c r="C141" s="39"/>
      <c r="D141" s="14"/>
      <c r="E141" s="5"/>
      <c r="F141" s="5"/>
      <c r="G141" s="34"/>
      <c r="H141" s="34"/>
      <c r="I141" s="34"/>
      <c r="J141" s="90"/>
      <c r="K141" s="90"/>
      <c r="L141" s="14"/>
      <c r="M141" s="39"/>
      <c r="N141"/>
      <c r="O141"/>
      <c r="P141"/>
      <c r="Q141"/>
    </row>
    <row r="142" spans="1:17" s="68" customFormat="1" x14ac:dyDescent="0.25">
      <c r="A142" s="39"/>
      <c r="B142" s="4"/>
      <c r="C142" s="39"/>
      <c r="D142" s="14"/>
      <c r="E142" s="5"/>
      <c r="F142" s="5"/>
      <c r="G142" s="34"/>
      <c r="H142" s="34"/>
      <c r="I142" s="34"/>
      <c r="J142" s="90"/>
      <c r="K142" s="90"/>
      <c r="L142" s="14"/>
      <c r="M142" s="39"/>
      <c r="N142"/>
      <c r="O142"/>
      <c r="P142"/>
      <c r="Q142"/>
    </row>
    <row r="143" spans="1:17" s="68" customFormat="1" x14ac:dyDescent="0.25">
      <c r="A143" s="39"/>
      <c r="B143" s="4"/>
      <c r="C143" s="39"/>
      <c r="D143" s="14"/>
      <c r="E143" s="5"/>
      <c r="F143" s="5"/>
      <c r="G143" s="34"/>
      <c r="H143" s="34"/>
      <c r="I143" s="34"/>
      <c r="J143" s="90"/>
      <c r="K143" s="90"/>
      <c r="L143" s="14"/>
      <c r="M143" s="39"/>
      <c r="N143"/>
      <c r="O143"/>
      <c r="P143"/>
      <c r="Q143"/>
    </row>
    <row r="144" spans="1:17" s="68" customFormat="1" x14ac:dyDescent="0.25">
      <c r="A144" s="39"/>
      <c r="B144" s="4"/>
      <c r="C144" s="39"/>
      <c r="D144" s="14"/>
      <c r="E144" s="5"/>
      <c r="F144" s="5"/>
      <c r="G144" s="34"/>
      <c r="H144" s="34"/>
      <c r="I144" s="34"/>
      <c r="J144" s="90"/>
      <c r="K144" s="90"/>
      <c r="L144" s="14"/>
      <c r="M144" s="39"/>
      <c r="N144"/>
      <c r="O144"/>
      <c r="P144"/>
      <c r="Q144"/>
    </row>
    <row r="145" spans="1:17" s="68" customFormat="1" x14ac:dyDescent="0.25">
      <c r="A145" s="39"/>
      <c r="B145" s="4"/>
      <c r="C145" s="39"/>
      <c r="D145" s="14"/>
      <c r="E145" s="5"/>
      <c r="F145" s="5"/>
      <c r="G145" s="34"/>
      <c r="H145" s="34"/>
      <c r="I145" s="34"/>
      <c r="J145" s="90"/>
      <c r="K145" s="90"/>
      <c r="L145" s="14"/>
      <c r="M145" s="39"/>
      <c r="N145"/>
      <c r="O145"/>
      <c r="P145"/>
      <c r="Q145"/>
    </row>
    <row r="146" spans="1:17" s="68" customFormat="1" x14ac:dyDescent="0.25">
      <c r="A146" s="39"/>
      <c r="B146" s="4"/>
      <c r="C146" s="39"/>
      <c r="D146" s="14"/>
      <c r="E146" s="5"/>
      <c r="F146" s="5"/>
      <c r="G146" s="34"/>
      <c r="H146" s="34"/>
      <c r="I146" s="34"/>
      <c r="J146" s="90"/>
      <c r="K146" s="90"/>
      <c r="L146" s="14"/>
      <c r="M146" s="39"/>
      <c r="N146"/>
      <c r="O146"/>
      <c r="P146"/>
      <c r="Q146"/>
    </row>
    <row r="147" spans="1:17" s="68" customFormat="1" x14ac:dyDescent="0.25">
      <c r="A147" s="39"/>
      <c r="B147" s="4"/>
      <c r="C147" s="39"/>
      <c r="D147" s="14"/>
      <c r="E147" s="5"/>
      <c r="F147" s="5"/>
      <c r="G147" s="34"/>
      <c r="H147" s="34"/>
      <c r="I147" s="34"/>
      <c r="J147" s="90"/>
      <c r="K147" s="90"/>
      <c r="L147" s="14"/>
      <c r="M147" s="39"/>
      <c r="N147"/>
      <c r="O147"/>
      <c r="P147"/>
      <c r="Q147"/>
    </row>
    <row r="148" spans="1:17" s="68" customFormat="1" x14ac:dyDescent="0.25">
      <c r="A148" s="39"/>
      <c r="B148" s="4"/>
      <c r="C148" s="39"/>
      <c r="D148" s="14"/>
      <c r="E148" s="5"/>
      <c r="F148" s="5"/>
      <c r="G148" s="34"/>
      <c r="H148" s="34"/>
      <c r="I148" s="34"/>
      <c r="J148" s="90"/>
      <c r="K148" s="90"/>
      <c r="L148" s="14"/>
      <c r="M148" s="39"/>
      <c r="N148"/>
      <c r="O148"/>
      <c r="P148"/>
      <c r="Q148"/>
    </row>
    <row r="149" spans="1:17" s="68" customFormat="1" x14ac:dyDescent="0.25">
      <c r="A149" s="39"/>
      <c r="B149" s="4"/>
      <c r="C149" s="39"/>
      <c r="D149" s="14"/>
      <c r="E149" s="5"/>
      <c r="F149" s="5"/>
      <c r="G149" s="34"/>
      <c r="H149" s="34"/>
      <c r="I149" s="34"/>
      <c r="J149" s="90"/>
      <c r="K149" s="90"/>
      <c r="L149" s="14"/>
      <c r="M149" s="39"/>
      <c r="N149"/>
      <c r="O149"/>
      <c r="P149"/>
      <c r="Q149"/>
    </row>
    <row r="150" spans="1:17" s="68" customFormat="1" x14ac:dyDescent="0.25">
      <c r="A150" s="39"/>
      <c r="B150" s="4"/>
      <c r="C150" s="39"/>
      <c r="D150" s="14"/>
      <c r="E150" s="5"/>
      <c r="F150" s="5"/>
      <c r="G150" s="34"/>
      <c r="H150" s="34"/>
      <c r="I150" s="34"/>
      <c r="J150" s="90"/>
      <c r="K150" s="90"/>
      <c r="L150" s="14"/>
      <c r="M150" s="39"/>
      <c r="N150"/>
      <c r="O150"/>
      <c r="P150"/>
      <c r="Q150"/>
    </row>
    <row r="151" spans="1:17" s="68" customFormat="1" x14ac:dyDescent="0.25">
      <c r="A151" s="39"/>
      <c r="B151" s="4"/>
      <c r="C151" s="39"/>
      <c r="D151" s="14"/>
      <c r="E151" s="5"/>
      <c r="F151" s="5"/>
      <c r="G151" s="34"/>
      <c r="H151" s="34"/>
      <c r="I151" s="34"/>
      <c r="J151" s="90"/>
      <c r="K151" s="90"/>
      <c r="L151" s="14"/>
      <c r="M151" s="39"/>
      <c r="N151"/>
      <c r="O151"/>
      <c r="P151"/>
      <c r="Q151"/>
    </row>
    <row r="152" spans="1:17" s="68" customFormat="1" x14ac:dyDescent="0.25">
      <c r="A152" s="39"/>
      <c r="B152" s="4"/>
      <c r="C152" s="39"/>
      <c r="D152" s="14"/>
      <c r="E152" s="5"/>
      <c r="F152" s="5"/>
      <c r="G152" s="34"/>
      <c r="H152" s="34"/>
      <c r="I152" s="34"/>
      <c r="J152" s="90"/>
      <c r="K152" s="90"/>
      <c r="L152" s="14"/>
      <c r="M152" s="39"/>
      <c r="N152"/>
      <c r="O152"/>
      <c r="P152"/>
      <c r="Q152"/>
    </row>
    <row r="153" spans="1:17" s="68" customFormat="1" x14ac:dyDescent="0.25">
      <c r="A153" s="39"/>
      <c r="B153" s="4"/>
      <c r="C153" s="39"/>
      <c r="D153" s="14"/>
      <c r="E153" s="5"/>
      <c r="F153" s="5"/>
      <c r="G153" s="34"/>
      <c r="H153" s="34"/>
      <c r="I153" s="34"/>
      <c r="J153" s="90"/>
      <c r="K153" s="90"/>
      <c r="L153" s="14"/>
      <c r="M153" s="39"/>
      <c r="N153"/>
      <c r="O153"/>
      <c r="P153"/>
      <c r="Q153"/>
    </row>
    <row r="154" spans="1:17" s="68" customFormat="1" x14ac:dyDescent="0.25">
      <c r="A154" s="39"/>
      <c r="B154" s="4"/>
      <c r="C154" s="39"/>
      <c r="D154" s="14"/>
      <c r="E154" s="5"/>
      <c r="F154" s="5"/>
      <c r="G154" s="34"/>
      <c r="H154" s="34"/>
      <c r="I154" s="34"/>
      <c r="J154" s="90"/>
      <c r="K154" s="90"/>
      <c r="L154" s="14"/>
      <c r="M154" s="39"/>
      <c r="N154"/>
      <c r="O154"/>
      <c r="P154"/>
      <c r="Q154"/>
    </row>
    <row r="155" spans="1:17" s="68" customFormat="1" x14ac:dyDescent="0.25">
      <c r="A155" s="39"/>
      <c r="B155" s="4"/>
      <c r="C155" s="39"/>
      <c r="D155" s="14"/>
      <c r="E155" s="5"/>
      <c r="F155" s="5"/>
      <c r="G155" s="34"/>
      <c r="H155" s="34"/>
      <c r="I155" s="34"/>
      <c r="J155" s="90"/>
      <c r="K155" s="90"/>
      <c r="L155" s="14"/>
      <c r="M155" s="39"/>
      <c r="N155"/>
      <c r="O155"/>
      <c r="P155"/>
      <c r="Q155"/>
    </row>
    <row r="156" spans="1:17" s="68" customFormat="1" x14ac:dyDescent="0.25">
      <c r="A156" s="39"/>
      <c r="B156" s="4"/>
      <c r="C156" s="39"/>
      <c r="D156" s="14"/>
      <c r="E156" s="5"/>
      <c r="F156" s="5"/>
      <c r="G156" s="34"/>
      <c r="H156" s="34"/>
      <c r="I156" s="34"/>
      <c r="J156" s="90"/>
      <c r="K156" s="90"/>
      <c r="L156" s="14"/>
      <c r="M156" s="39"/>
      <c r="N156"/>
      <c r="O156"/>
      <c r="P156"/>
      <c r="Q156"/>
    </row>
    <row r="157" spans="1:17" s="68" customFormat="1" x14ac:dyDescent="0.25">
      <c r="A157" s="39"/>
      <c r="B157" s="4"/>
      <c r="C157" s="39"/>
      <c r="D157" s="14"/>
      <c r="E157" s="5"/>
      <c r="F157" s="5"/>
      <c r="G157" s="34"/>
      <c r="H157" s="34"/>
      <c r="I157" s="34"/>
      <c r="J157" s="90"/>
      <c r="K157" s="90"/>
      <c r="L157" s="14"/>
      <c r="M157" s="39"/>
      <c r="N157"/>
      <c r="O157"/>
      <c r="P157"/>
      <c r="Q157"/>
    </row>
    <row r="158" spans="1:17" s="68" customFormat="1" x14ac:dyDescent="0.25">
      <c r="A158" s="39"/>
      <c r="B158" s="4"/>
      <c r="C158" s="39"/>
      <c r="D158" s="14"/>
      <c r="E158" s="5"/>
      <c r="F158" s="5"/>
      <c r="G158" s="34"/>
      <c r="H158" s="34"/>
      <c r="I158" s="34"/>
      <c r="J158" s="90"/>
      <c r="K158" s="90"/>
      <c r="L158" s="14"/>
      <c r="M158" s="39"/>
      <c r="N158"/>
      <c r="O158"/>
      <c r="P158"/>
      <c r="Q158"/>
    </row>
    <row r="159" spans="1:17" s="68" customFormat="1" x14ac:dyDescent="0.25">
      <c r="A159" s="39"/>
      <c r="B159" s="4"/>
      <c r="C159" s="39"/>
      <c r="D159" s="14"/>
      <c r="E159" s="5"/>
      <c r="F159" s="5"/>
      <c r="G159" s="34"/>
      <c r="H159" s="34"/>
      <c r="I159" s="34"/>
      <c r="J159" s="90"/>
      <c r="K159" s="90"/>
      <c r="L159" s="14"/>
      <c r="M159" s="39"/>
      <c r="N159"/>
      <c r="O159"/>
      <c r="P159"/>
      <c r="Q159"/>
    </row>
    <row r="160" spans="1:17" s="68" customFormat="1" x14ac:dyDescent="0.25">
      <c r="A160" s="39"/>
      <c r="B160" s="4"/>
      <c r="C160" s="39"/>
      <c r="D160" s="14"/>
      <c r="E160" s="5"/>
      <c r="F160" s="5"/>
      <c r="G160" s="34"/>
      <c r="H160" s="34"/>
      <c r="I160" s="34"/>
      <c r="J160" s="90"/>
      <c r="K160" s="90"/>
      <c r="L160" s="14"/>
      <c r="M160" s="39"/>
      <c r="N160"/>
      <c r="O160"/>
      <c r="P160"/>
      <c r="Q160"/>
    </row>
    <row r="161" spans="1:17" s="68" customFormat="1" x14ac:dyDescent="0.25">
      <c r="A161" s="39"/>
      <c r="B161" s="4"/>
      <c r="C161" s="39"/>
      <c r="D161" s="14"/>
      <c r="E161" s="5"/>
      <c r="F161" s="5"/>
      <c r="G161" s="34"/>
      <c r="H161" s="34"/>
      <c r="I161" s="34"/>
      <c r="J161" s="90"/>
      <c r="K161" s="90"/>
      <c r="L161" s="14"/>
      <c r="M161" s="39"/>
      <c r="N161"/>
      <c r="O161"/>
      <c r="P161"/>
      <c r="Q161"/>
    </row>
    <row r="162" spans="1:17" s="68" customFormat="1" x14ac:dyDescent="0.25">
      <c r="A162" s="39"/>
      <c r="B162" s="4"/>
      <c r="C162" s="39"/>
      <c r="D162" s="14"/>
      <c r="E162" s="5"/>
      <c r="F162" s="5"/>
      <c r="G162" s="34"/>
      <c r="H162" s="34"/>
      <c r="I162" s="34"/>
      <c r="J162" s="90"/>
      <c r="K162" s="90"/>
      <c r="L162" s="14"/>
      <c r="M162" s="39"/>
      <c r="N162"/>
      <c r="O162"/>
      <c r="P162"/>
      <c r="Q162"/>
    </row>
    <row r="163" spans="1:17" s="68" customFormat="1" x14ac:dyDescent="0.25">
      <c r="A163" s="39"/>
      <c r="B163" s="4"/>
      <c r="C163" s="39"/>
      <c r="D163" s="14"/>
      <c r="E163" s="5"/>
      <c r="F163" s="5"/>
      <c r="G163" s="34"/>
      <c r="H163" s="34"/>
      <c r="I163" s="34"/>
      <c r="J163" s="90"/>
      <c r="K163" s="90"/>
      <c r="L163" s="14"/>
      <c r="M163" s="39"/>
      <c r="N163"/>
      <c r="O163"/>
      <c r="P163"/>
      <c r="Q163"/>
    </row>
    <row r="164" spans="1:17" s="68" customFormat="1" x14ac:dyDescent="0.25">
      <c r="A164" s="39"/>
      <c r="B164" s="4"/>
      <c r="C164" s="39"/>
      <c r="D164" s="14"/>
      <c r="E164" s="5"/>
      <c r="F164" s="5"/>
      <c r="G164" s="34"/>
      <c r="H164" s="34"/>
      <c r="I164" s="34"/>
      <c r="J164" s="90"/>
      <c r="K164" s="90"/>
      <c r="L164" s="14"/>
      <c r="M164" s="14"/>
      <c r="N164"/>
      <c r="O164"/>
      <c r="P164"/>
      <c r="Q164"/>
    </row>
    <row r="165" spans="1:17" s="68" customFormat="1" x14ac:dyDescent="0.25">
      <c r="A165" s="39"/>
      <c r="B165" s="4"/>
      <c r="C165" s="39"/>
      <c r="D165" s="14"/>
      <c r="E165" s="5"/>
      <c r="F165" s="5"/>
      <c r="G165" s="34"/>
      <c r="H165" s="34"/>
      <c r="I165" s="34"/>
      <c r="J165" s="90"/>
      <c r="K165" s="90"/>
      <c r="L165" s="14"/>
      <c r="M165" s="4"/>
      <c r="N165"/>
      <c r="O165"/>
      <c r="P165"/>
      <c r="Q165"/>
    </row>
    <row r="166" spans="1:17" s="68" customFormat="1" x14ac:dyDescent="0.25">
      <c r="A166" s="39"/>
      <c r="B166" s="4"/>
      <c r="C166" s="39"/>
      <c r="D166" s="14"/>
      <c r="E166" s="5"/>
      <c r="F166" s="5"/>
      <c r="G166" s="34"/>
      <c r="H166" s="34"/>
      <c r="I166" s="34"/>
      <c r="J166" s="90"/>
      <c r="K166" s="90"/>
      <c r="L166" s="14"/>
      <c r="M166" s="39"/>
      <c r="N166"/>
      <c r="O166"/>
      <c r="P166"/>
      <c r="Q166"/>
    </row>
    <row r="167" spans="1:17" s="68" customFormat="1" x14ac:dyDescent="0.25">
      <c r="A167" s="5"/>
      <c r="B167" s="5"/>
      <c r="C167" s="5"/>
      <c r="D167" s="5"/>
      <c r="E167" s="5"/>
      <c r="F167" s="5"/>
      <c r="G167" s="34"/>
      <c r="H167" s="34"/>
      <c r="I167" s="34"/>
      <c r="J167" s="90"/>
      <c r="K167" s="34"/>
      <c r="L167" s="5"/>
      <c r="M167" s="39"/>
      <c r="N167"/>
      <c r="O167"/>
      <c r="P167"/>
      <c r="Q167"/>
    </row>
    <row r="168" spans="1:17" s="68" customFormat="1" x14ac:dyDescent="0.25">
      <c r="A168" s="39"/>
      <c r="B168" s="4"/>
      <c r="C168" s="39"/>
      <c r="D168" s="14"/>
      <c r="E168" s="5"/>
      <c r="F168" s="5"/>
      <c r="G168" s="34"/>
      <c r="H168" s="34"/>
      <c r="I168" s="34"/>
      <c r="J168" s="90"/>
      <c r="K168" s="90"/>
      <c r="L168" s="14"/>
      <c r="M168" s="39"/>
      <c r="N168"/>
      <c r="O168"/>
      <c r="P168"/>
      <c r="Q168"/>
    </row>
    <row r="169" spans="1:17" s="68" customFormat="1" x14ac:dyDescent="0.25">
      <c r="A169" s="39"/>
      <c r="B169" s="4"/>
      <c r="C169" s="39"/>
      <c r="D169" s="14"/>
      <c r="E169" s="5"/>
      <c r="F169" s="5"/>
      <c r="G169" s="34"/>
      <c r="H169" s="34"/>
      <c r="I169" s="34"/>
      <c r="J169" s="90"/>
      <c r="K169" s="90"/>
      <c r="L169" s="14"/>
      <c r="M169" s="39"/>
      <c r="N169"/>
      <c r="O169"/>
      <c r="P169"/>
      <c r="Q169"/>
    </row>
    <row r="170" spans="1:17" s="68" customFormat="1" x14ac:dyDescent="0.25">
      <c r="A170" s="39"/>
      <c r="B170" s="4"/>
      <c r="C170" s="39"/>
      <c r="D170" s="14"/>
      <c r="E170" s="5"/>
      <c r="F170" s="5"/>
      <c r="G170" s="34"/>
      <c r="H170" s="34"/>
      <c r="I170" s="34"/>
      <c r="J170" s="90"/>
      <c r="K170" s="90"/>
      <c r="L170" s="14"/>
      <c r="M170" s="14"/>
      <c r="N170"/>
      <c r="O170"/>
      <c r="P170"/>
      <c r="Q170"/>
    </row>
    <row r="171" spans="1:17" s="68" customFormat="1" x14ac:dyDescent="0.25">
      <c r="A171" s="39"/>
      <c r="B171" s="4"/>
      <c r="C171" s="39"/>
      <c r="D171" s="14"/>
      <c r="E171" s="5"/>
      <c r="F171" s="5"/>
      <c r="G171" s="34"/>
      <c r="H171" s="34"/>
      <c r="I171" s="34"/>
      <c r="J171" s="90"/>
      <c r="K171" s="90"/>
      <c r="L171" s="14"/>
      <c r="M171" s="39"/>
      <c r="N171"/>
      <c r="O171"/>
      <c r="P171"/>
      <c r="Q171"/>
    </row>
    <row r="172" spans="1:17" s="68" customFormat="1" x14ac:dyDescent="0.25">
      <c r="A172" s="39"/>
      <c r="B172" s="4"/>
      <c r="C172" s="39"/>
      <c r="D172" s="14"/>
      <c r="E172" s="5"/>
      <c r="F172" s="5"/>
      <c r="G172" s="34"/>
      <c r="H172" s="34"/>
      <c r="I172" s="34"/>
      <c r="J172" s="90"/>
      <c r="K172" s="90"/>
      <c r="L172" s="14"/>
      <c r="M172" s="39"/>
      <c r="N172"/>
      <c r="O172"/>
      <c r="P172"/>
      <c r="Q172"/>
    </row>
    <row r="173" spans="1:17" s="68" customFormat="1" x14ac:dyDescent="0.25">
      <c r="A173" s="39"/>
      <c r="B173" s="4"/>
      <c r="C173" s="39"/>
      <c r="D173" s="14"/>
      <c r="E173" s="5"/>
      <c r="F173" s="5"/>
      <c r="G173" s="34"/>
      <c r="H173" s="34"/>
      <c r="I173" s="34"/>
      <c r="J173" s="90"/>
      <c r="K173" s="90"/>
      <c r="L173" s="14"/>
      <c r="M173" s="39"/>
      <c r="N173"/>
      <c r="O173"/>
      <c r="P173"/>
      <c r="Q173"/>
    </row>
    <row r="174" spans="1:17" s="68" customFormat="1" x14ac:dyDescent="0.25">
      <c r="A174" s="39"/>
      <c r="B174" s="4"/>
      <c r="C174" s="39"/>
      <c r="D174" s="14"/>
      <c r="E174" s="5"/>
      <c r="F174" s="5"/>
      <c r="G174" s="34"/>
      <c r="H174" s="34"/>
      <c r="I174" s="34"/>
      <c r="J174" s="90"/>
      <c r="K174" s="90"/>
      <c r="L174" s="14"/>
      <c r="M174" s="39"/>
      <c r="N174"/>
      <c r="O174"/>
      <c r="P174"/>
      <c r="Q174"/>
    </row>
    <row r="175" spans="1:17" s="68" customFormat="1" x14ac:dyDescent="0.25">
      <c r="A175" s="39"/>
      <c r="B175" s="4"/>
      <c r="C175" s="39"/>
      <c r="D175" s="14"/>
      <c r="E175" s="5"/>
      <c r="F175" s="5"/>
      <c r="G175" s="34"/>
      <c r="H175" s="34"/>
      <c r="I175" s="34"/>
      <c r="J175" s="90"/>
      <c r="K175" s="90"/>
      <c r="L175" s="14"/>
      <c r="M175" s="39"/>
      <c r="N175"/>
      <c r="O175"/>
      <c r="P175"/>
      <c r="Q175"/>
    </row>
    <row r="176" spans="1:17" s="68" customFormat="1" x14ac:dyDescent="0.25">
      <c r="A176" s="39"/>
      <c r="B176" s="4"/>
      <c r="C176" s="39"/>
      <c r="D176" s="14"/>
      <c r="E176" s="5"/>
      <c r="F176" s="5"/>
      <c r="G176" s="34"/>
      <c r="H176" s="34"/>
      <c r="I176" s="34"/>
      <c r="J176" s="90"/>
      <c r="K176" s="90"/>
      <c r="L176" s="14"/>
      <c r="M176" s="39"/>
      <c r="N176"/>
      <c r="O176"/>
      <c r="P176"/>
      <c r="Q176"/>
    </row>
    <row r="177" spans="1:17" s="68" customFormat="1" x14ac:dyDescent="0.25">
      <c r="A177" s="39"/>
      <c r="B177" s="4"/>
      <c r="C177" s="39"/>
      <c r="D177" s="14"/>
      <c r="E177" s="5"/>
      <c r="F177" s="5"/>
      <c r="G177" s="34"/>
      <c r="H177" s="34"/>
      <c r="I177" s="34"/>
      <c r="J177" s="90"/>
      <c r="K177" s="90"/>
      <c r="L177" s="14"/>
      <c r="M177" s="39"/>
      <c r="N177"/>
      <c r="O177"/>
      <c r="P177"/>
      <c r="Q177"/>
    </row>
    <row r="178" spans="1:17" s="68" customFormat="1" x14ac:dyDescent="0.25">
      <c r="A178" s="39"/>
      <c r="B178" s="4"/>
      <c r="C178" s="39"/>
      <c r="D178" s="14"/>
      <c r="E178" s="5"/>
      <c r="F178" s="5"/>
      <c r="G178" s="34"/>
      <c r="H178" s="34"/>
      <c r="I178" s="34"/>
      <c r="J178" s="90"/>
      <c r="K178" s="90"/>
      <c r="L178" s="14"/>
      <c r="M178" s="39"/>
      <c r="N178"/>
      <c r="O178"/>
      <c r="P178"/>
      <c r="Q178"/>
    </row>
    <row r="179" spans="1:17" s="68" customFormat="1" x14ac:dyDescent="0.25">
      <c r="A179" s="39"/>
      <c r="B179" s="4"/>
      <c r="C179" s="39"/>
      <c r="D179" s="14"/>
      <c r="E179" s="5"/>
      <c r="F179" s="5"/>
      <c r="G179" s="34"/>
      <c r="H179" s="34"/>
      <c r="I179" s="34"/>
      <c r="J179" s="90"/>
      <c r="K179" s="90"/>
      <c r="L179" s="14"/>
      <c r="M179" s="14"/>
      <c r="N179"/>
      <c r="O179"/>
      <c r="P179"/>
      <c r="Q179"/>
    </row>
    <row r="180" spans="1:17" s="68" customFormat="1" x14ac:dyDescent="0.25">
      <c r="A180" s="39"/>
      <c r="B180" s="4"/>
      <c r="C180" s="39"/>
      <c r="D180" s="14"/>
      <c r="E180" s="5"/>
      <c r="F180" s="5"/>
      <c r="G180" s="34"/>
      <c r="H180" s="34"/>
      <c r="I180" s="34"/>
      <c r="J180" s="90"/>
      <c r="K180" s="90"/>
      <c r="L180" s="14"/>
      <c r="M180" s="39"/>
      <c r="N180"/>
      <c r="O180"/>
      <c r="P180"/>
      <c r="Q180"/>
    </row>
    <row r="181" spans="1:17" s="68" customFormat="1" x14ac:dyDescent="0.25">
      <c r="A181" s="39"/>
      <c r="B181" s="4"/>
      <c r="C181" s="39"/>
      <c r="D181" s="14"/>
      <c r="E181" s="5"/>
      <c r="F181" s="5"/>
      <c r="G181" s="34"/>
      <c r="H181" s="34"/>
      <c r="I181" s="34"/>
      <c r="J181" s="90"/>
      <c r="K181" s="90"/>
      <c r="L181" s="14"/>
      <c r="M181" s="39"/>
      <c r="N181"/>
      <c r="O181"/>
      <c r="P181"/>
      <c r="Q181"/>
    </row>
    <row r="182" spans="1:17" s="68" customFormat="1" x14ac:dyDescent="0.25">
      <c r="A182" s="39"/>
      <c r="B182" s="4"/>
      <c r="C182" s="39"/>
      <c r="D182" s="14"/>
      <c r="E182" s="5"/>
      <c r="F182" s="5"/>
      <c r="G182" s="34"/>
      <c r="H182" s="34"/>
      <c r="I182" s="34"/>
      <c r="J182" s="90"/>
      <c r="K182" s="90"/>
      <c r="L182" s="14"/>
      <c r="M182" s="39"/>
      <c r="N182"/>
      <c r="O182"/>
      <c r="P182"/>
      <c r="Q182"/>
    </row>
    <row r="183" spans="1:17" s="68" customFormat="1" x14ac:dyDescent="0.25">
      <c r="A183" s="39"/>
      <c r="B183" s="4"/>
      <c r="C183" s="39"/>
      <c r="D183" s="14"/>
      <c r="E183" s="5"/>
      <c r="F183" s="5"/>
      <c r="G183" s="34"/>
      <c r="H183" s="34"/>
      <c r="I183" s="34"/>
      <c r="J183" s="90"/>
      <c r="K183" s="90"/>
      <c r="L183" s="14"/>
      <c r="M183" s="39"/>
      <c r="N183"/>
      <c r="O183"/>
      <c r="P183"/>
      <c r="Q183"/>
    </row>
    <row r="184" spans="1:17" s="68" customFormat="1" x14ac:dyDescent="0.25">
      <c r="A184" s="39"/>
      <c r="B184" s="4"/>
      <c r="C184" s="39"/>
      <c r="D184" s="14"/>
      <c r="E184" s="5"/>
      <c r="F184" s="5"/>
      <c r="G184" s="34"/>
      <c r="H184" s="34"/>
      <c r="I184" s="34"/>
      <c r="J184" s="90"/>
      <c r="K184" s="90"/>
      <c r="L184" s="14"/>
      <c r="M184" s="39"/>
      <c r="N184"/>
      <c r="O184"/>
      <c r="P184"/>
      <c r="Q184"/>
    </row>
    <row r="185" spans="1:17" s="68" customFormat="1" x14ac:dyDescent="0.25">
      <c r="A185" s="39"/>
      <c r="B185" s="4"/>
      <c r="C185" s="39"/>
      <c r="D185" s="14"/>
      <c r="E185" s="5"/>
      <c r="F185" s="5"/>
      <c r="G185" s="34"/>
      <c r="H185" s="34"/>
      <c r="I185" s="34"/>
      <c r="J185" s="90"/>
      <c r="K185" s="90"/>
      <c r="L185" s="14"/>
      <c r="M185" s="39"/>
      <c r="N185"/>
      <c r="O185"/>
      <c r="P185"/>
      <c r="Q185"/>
    </row>
    <row r="186" spans="1:17" s="68" customFormat="1" x14ac:dyDescent="0.25">
      <c r="A186" s="39"/>
      <c r="B186" s="4"/>
      <c r="C186" s="39"/>
      <c r="D186" s="14"/>
      <c r="E186" s="5"/>
      <c r="F186" s="5"/>
      <c r="G186" s="34"/>
      <c r="H186" s="34"/>
      <c r="I186" s="34"/>
      <c r="J186" s="90"/>
      <c r="K186" s="90"/>
      <c r="L186" s="14"/>
      <c r="M186" s="39"/>
      <c r="N186"/>
      <c r="O186"/>
      <c r="P186"/>
      <c r="Q186"/>
    </row>
    <row r="187" spans="1:17" s="68" customFormat="1" x14ac:dyDescent="0.25">
      <c r="A187" s="39"/>
      <c r="B187" s="4"/>
      <c r="C187" s="39"/>
      <c r="D187" s="14"/>
      <c r="E187" s="5"/>
      <c r="F187" s="5"/>
      <c r="G187" s="34"/>
      <c r="H187" s="34"/>
      <c r="I187" s="34"/>
      <c r="J187" s="90"/>
      <c r="K187" s="90"/>
      <c r="L187" s="14"/>
      <c r="M187" s="39"/>
      <c r="N187"/>
      <c r="O187"/>
      <c r="P187"/>
      <c r="Q187"/>
    </row>
    <row r="188" spans="1:17" s="68" customFormat="1" x14ac:dyDescent="0.25">
      <c r="A188" s="39"/>
      <c r="B188" s="4"/>
      <c r="C188" s="39"/>
      <c r="D188" s="14"/>
      <c r="E188" s="5"/>
      <c r="F188" s="5"/>
      <c r="G188" s="34"/>
      <c r="H188" s="34"/>
      <c r="I188" s="34"/>
      <c r="J188" s="90"/>
      <c r="K188" s="90"/>
      <c r="L188" s="14"/>
      <c r="M188" s="39"/>
      <c r="N188"/>
      <c r="O188"/>
      <c r="P188"/>
      <c r="Q188"/>
    </row>
    <row r="189" spans="1:17" s="68" customFormat="1" x14ac:dyDescent="0.25">
      <c r="A189" s="39"/>
      <c r="B189" s="4"/>
      <c r="C189" s="39"/>
      <c r="D189" s="14"/>
      <c r="E189" s="5"/>
      <c r="F189" s="5"/>
      <c r="G189" s="34"/>
      <c r="H189" s="34"/>
      <c r="I189" s="34"/>
      <c r="J189" s="90"/>
      <c r="K189" s="90"/>
      <c r="L189" s="14"/>
      <c r="M189" s="39"/>
      <c r="N189"/>
      <c r="O189"/>
      <c r="P189"/>
      <c r="Q189"/>
    </row>
    <row r="190" spans="1:17" s="69" customFormat="1" x14ac:dyDescent="0.25">
      <c r="A190" s="17"/>
      <c r="B190" s="17"/>
      <c r="C190" s="39"/>
      <c r="D190" s="14"/>
      <c r="E190" s="14"/>
      <c r="F190" s="17"/>
      <c r="G190" s="88"/>
      <c r="H190" s="17"/>
      <c r="I190" s="17"/>
      <c r="J190" s="88"/>
      <c r="K190" s="88"/>
      <c r="L190" s="14"/>
      <c r="M190" s="14"/>
      <c r="N190"/>
      <c r="O190"/>
      <c r="P190"/>
      <c r="Q190"/>
    </row>
    <row r="191" spans="1:17" s="69" customFormat="1" x14ac:dyDescent="0.25">
      <c r="A191" s="17"/>
      <c r="B191" s="17"/>
      <c r="C191" s="39"/>
      <c r="D191" s="14"/>
      <c r="E191" s="14"/>
      <c r="F191" s="17"/>
      <c r="G191" s="88"/>
      <c r="H191" s="88"/>
      <c r="I191" s="17"/>
      <c r="J191" s="88"/>
      <c r="K191" s="88"/>
      <c r="L191" s="14"/>
      <c r="M191" s="14"/>
      <c r="N191"/>
      <c r="O191"/>
      <c r="P191"/>
      <c r="Q191"/>
    </row>
    <row r="192" spans="1:17" s="79" customFormat="1" x14ac:dyDescent="0.25">
      <c r="A192" s="14"/>
      <c r="B192" s="14"/>
      <c r="C192" s="14"/>
      <c r="D192" s="14"/>
      <c r="E192" s="14"/>
      <c r="F192" s="14"/>
      <c r="G192" s="49"/>
      <c r="H192" s="14"/>
      <c r="I192" s="14"/>
      <c r="J192" s="49"/>
      <c r="K192" s="88"/>
      <c r="L192" s="14"/>
      <c r="M192" s="14"/>
      <c r="N192"/>
      <c r="O192"/>
      <c r="P192"/>
      <c r="Q192"/>
    </row>
    <row r="193" spans="1:17" s="79" customFormat="1" x14ac:dyDescent="0.25">
      <c r="A193" s="14"/>
      <c r="B193" s="14"/>
      <c r="C193" s="14"/>
      <c r="D193" s="14"/>
      <c r="E193" s="14"/>
      <c r="F193" s="14"/>
      <c r="G193" s="49"/>
      <c r="H193" s="14"/>
      <c r="I193" s="14"/>
      <c r="J193" s="49"/>
      <c r="K193" s="88"/>
      <c r="L193" s="14"/>
      <c r="M193" s="52"/>
      <c r="N193"/>
      <c r="O193"/>
      <c r="P193"/>
      <c r="Q193"/>
    </row>
  </sheetData>
  <printOptions gridLines="1"/>
  <pageMargins left="0.70866141732283472" right="0.70866141732283472" top="0.74803149606299213" bottom="0.74803149606299213" header="0.31496062992125984" footer="0.31496062992125984"/>
  <pageSetup paperSize="9" scale="88" orientation="landscape" r:id="rId1"/>
  <rowBreaks count="3" manualBreakCount="3">
    <brk id="21" max="12" man="1"/>
    <brk id="44" max="12" man="1"/>
    <brk id="7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C3ED4-2403-4F7A-8071-D658FF4F1BF5}">
  <sheetPr>
    <pageSetUpPr fitToPage="1"/>
  </sheetPr>
  <dimension ref="A1:W13"/>
  <sheetViews>
    <sheetView view="pageBreakPreview" zoomScale="60" zoomScaleNormal="100" workbookViewId="0">
      <selection activeCell="Q27" sqref="Q27"/>
    </sheetView>
  </sheetViews>
  <sheetFormatPr defaultColWidth="9.140625" defaultRowHeight="15" x14ac:dyDescent="0.25"/>
  <cols>
    <col min="1" max="1" width="6" customWidth="1"/>
    <col min="2" max="2" width="7" customWidth="1"/>
    <col min="3" max="3" width="5.85546875" customWidth="1"/>
    <col min="4" max="4" width="6.140625" customWidth="1"/>
    <col min="5" max="5" width="17" customWidth="1"/>
    <col min="6" max="6" width="11.42578125" customWidth="1"/>
    <col min="7" max="7" width="6.42578125" customWidth="1"/>
    <col min="8" max="8" width="6.28515625" customWidth="1"/>
    <col min="9" max="9" width="7.7109375" customWidth="1"/>
    <col min="10" max="10" width="8.7109375" customWidth="1"/>
    <col min="11" max="11" width="7.42578125" customWidth="1"/>
    <col min="12" max="12" width="30.140625" customWidth="1"/>
    <col min="13" max="13" width="30.7109375" style="41" customWidth="1"/>
    <col min="14" max="14" width="17.42578125" customWidth="1"/>
    <col min="15" max="22" width="8.7109375" customWidth="1"/>
    <col min="24" max="16384" width="9.140625" style="81"/>
  </cols>
  <sheetData>
    <row r="1" spans="1:23" x14ac:dyDescent="0.25">
      <c r="A1" s="26" t="s">
        <v>0</v>
      </c>
      <c r="B1" s="26"/>
      <c r="C1" s="17"/>
      <c r="D1" s="17"/>
      <c r="E1" s="17"/>
      <c r="F1" s="17"/>
      <c r="G1" s="17"/>
      <c r="H1" s="17"/>
      <c r="I1" s="17"/>
      <c r="J1" s="17"/>
      <c r="K1" s="17"/>
      <c r="L1" s="14"/>
      <c r="M1" s="14"/>
    </row>
    <row r="2" spans="1:23" x14ac:dyDescent="0.25">
      <c r="A2" s="21" t="s">
        <v>1133</v>
      </c>
      <c r="B2" s="21"/>
      <c r="C2" s="12"/>
      <c r="D2" s="15"/>
      <c r="E2" s="15"/>
      <c r="F2" s="15"/>
      <c r="G2" s="15"/>
      <c r="H2" s="15"/>
      <c r="I2" s="15"/>
      <c r="J2" s="15"/>
      <c r="K2" s="15"/>
      <c r="L2" s="15"/>
      <c r="M2" s="91"/>
    </row>
    <row r="3" spans="1:23" x14ac:dyDescent="0.25">
      <c r="A3" s="21" t="s">
        <v>1177</v>
      </c>
      <c r="B3" s="21"/>
      <c r="C3" s="15"/>
      <c r="D3" s="15"/>
      <c r="E3" s="15"/>
      <c r="F3" s="15"/>
      <c r="G3" s="15"/>
      <c r="H3" s="15"/>
      <c r="I3" s="15"/>
      <c r="J3" s="92"/>
      <c r="K3" s="15"/>
      <c r="L3" s="15"/>
      <c r="M3" s="15"/>
    </row>
    <row r="4" spans="1:23" ht="22.5" x14ac:dyDescent="0.25">
      <c r="A4" s="11" t="s">
        <v>1</v>
      </c>
      <c r="B4" s="11" t="s">
        <v>2</v>
      </c>
      <c r="C4" s="11" t="s">
        <v>3</v>
      </c>
      <c r="D4" s="11" t="s">
        <v>5</v>
      </c>
      <c r="E4" s="11" t="s">
        <v>6</v>
      </c>
      <c r="F4" s="11" t="s">
        <v>7</v>
      </c>
      <c r="G4" s="86" t="s">
        <v>8</v>
      </c>
      <c r="H4" s="86" t="s">
        <v>9</v>
      </c>
      <c r="I4" s="11" t="s">
        <v>10</v>
      </c>
      <c r="J4" s="12" t="s">
        <v>11</v>
      </c>
      <c r="K4" s="86" t="s">
        <v>54</v>
      </c>
      <c r="L4" s="86" t="s">
        <v>13</v>
      </c>
      <c r="M4" s="11" t="s">
        <v>14</v>
      </c>
    </row>
    <row r="5" spans="1:23" ht="45" x14ac:dyDescent="0.25">
      <c r="A5" s="24" t="s">
        <v>1134</v>
      </c>
      <c r="B5" s="24">
        <v>2.1</v>
      </c>
      <c r="C5" s="24" t="s">
        <v>163</v>
      </c>
      <c r="D5" s="14" t="s">
        <v>1137</v>
      </c>
      <c r="E5" s="14" t="s">
        <v>1138</v>
      </c>
      <c r="F5" s="93" t="s">
        <v>29</v>
      </c>
      <c r="G5" s="94">
        <v>5.6</v>
      </c>
      <c r="H5" s="93">
        <v>4</v>
      </c>
      <c r="I5" s="93">
        <v>1</v>
      </c>
      <c r="J5" s="93">
        <v>1</v>
      </c>
      <c r="K5" s="94">
        <f>(G5*I5)/J5</f>
        <v>5.6</v>
      </c>
      <c r="L5" s="14" t="s">
        <v>1139</v>
      </c>
      <c r="M5" s="4" t="s">
        <v>1140</v>
      </c>
      <c r="N5" s="39"/>
    </row>
    <row r="6" spans="1:23" ht="40.5" customHeight="1" x14ac:dyDescent="0.25">
      <c r="A6" s="24" t="s">
        <v>1135</v>
      </c>
      <c r="B6" s="24">
        <v>11.1</v>
      </c>
      <c r="C6" s="24" t="s">
        <v>163</v>
      </c>
      <c r="D6" s="14" t="s">
        <v>1137</v>
      </c>
      <c r="E6" s="24"/>
      <c r="F6" s="24" t="s">
        <v>1136</v>
      </c>
      <c r="G6" s="24">
        <v>4.34</v>
      </c>
      <c r="H6" s="24">
        <v>1</v>
      </c>
      <c r="I6" s="24">
        <v>1</v>
      </c>
      <c r="J6" s="25">
        <f>365/84</f>
        <v>4.3452380952380949</v>
      </c>
      <c r="K6" s="94">
        <f>(G6*I6)/J6</f>
        <v>0.99879452054794526</v>
      </c>
      <c r="L6" s="24" t="s">
        <v>1141</v>
      </c>
      <c r="M6" s="24" t="s">
        <v>1142</v>
      </c>
    </row>
    <row r="7" spans="1:23" x14ac:dyDescent="0.25">
      <c r="A7" s="12"/>
      <c r="B7" s="12"/>
      <c r="C7" s="12"/>
      <c r="D7" s="12"/>
      <c r="E7" s="15"/>
      <c r="F7" s="15"/>
      <c r="G7" s="15"/>
      <c r="H7" s="15"/>
      <c r="I7" s="15"/>
      <c r="J7" s="16"/>
      <c r="K7" s="15"/>
      <c r="L7" s="16"/>
      <c r="M7" s="15"/>
    </row>
    <row r="8" spans="1:23" s="68" customFormat="1" x14ac:dyDescent="0.25">
      <c r="A8" s="39"/>
      <c r="B8" s="4"/>
      <c r="C8" s="39"/>
      <c r="D8" s="14"/>
      <c r="E8" s="163" t="s">
        <v>1184</v>
      </c>
      <c r="F8" s="90">
        <f>K5</f>
        <v>5.6</v>
      </c>
      <c r="G8" s="34"/>
      <c r="H8" s="34"/>
      <c r="I8" s="34"/>
      <c r="J8" s="34"/>
      <c r="K8" s="90"/>
      <c r="L8" s="14"/>
      <c r="M8" s="4"/>
      <c r="N8" s="39"/>
      <c r="O8"/>
      <c r="P8"/>
      <c r="Q8"/>
      <c r="R8"/>
      <c r="S8"/>
      <c r="T8"/>
      <c r="U8"/>
      <c r="V8"/>
      <c r="W8"/>
    </row>
    <row r="9" spans="1:23" ht="23.25" x14ac:dyDescent="0.25">
      <c r="A9" s="24"/>
      <c r="B9" s="24"/>
      <c r="C9" s="39"/>
      <c r="D9" s="24"/>
      <c r="E9" s="146" t="s">
        <v>1185</v>
      </c>
      <c r="F9" s="25">
        <f>K6</f>
        <v>0.99879452054794526</v>
      </c>
      <c r="G9" s="24"/>
      <c r="H9" s="24"/>
      <c r="I9" s="24"/>
      <c r="J9" s="25"/>
      <c r="K9" s="94"/>
      <c r="L9" s="24"/>
      <c r="M9" s="24"/>
    </row>
    <row r="10" spans="1:23" x14ac:dyDescent="0.25">
      <c r="A10" s="12"/>
      <c r="B10" s="12"/>
      <c r="C10" s="15"/>
      <c r="D10" s="12"/>
      <c r="E10" s="13"/>
      <c r="F10" s="15"/>
      <c r="G10" s="15"/>
      <c r="H10" s="15"/>
      <c r="I10" s="16"/>
      <c r="J10" s="15"/>
      <c r="K10" s="15"/>
      <c r="L10" s="16"/>
      <c r="M10" s="15"/>
    </row>
    <row r="11" spans="1:23" x14ac:dyDescent="0.25">
      <c r="A11" s="12"/>
      <c r="B11" s="12"/>
      <c r="C11" s="15"/>
      <c r="D11" s="12"/>
      <c r="E11" s="13"/>
      <c r="F11" s="15"/>
      <c r="G11" s="15"/>
      <c r="H11" s="15"/>
      <c r="I11" s="16"/>
      <c r="J11" s="15"/>
      <c r="K11" s="15"/>
      <c r="L11" s="16"/>
      <c r="M11" s="15"/>
    </row>
    <row r="12" spans="1:23" x14ac:dyDescent="0.25">
      <c r="A12" s="12"/>
      <c r="B12" s="12"/>
      <c r="C12" s="15"/>
      <c r="D12" s="12"/>
      <c r="E12" s="12"/>
      <c r="F12" s="15"/>
      <c r="G12" s="15"/>
      <c r="H12" s="15"/>
      <c r="I12" s="15"/>
      <c r="J12" s="15"/>
      <c r="K12" s="15"/>
      <c r="L12" s="16"/>
      <c r="M12" s="15"/>
    </row>
    <row r="13" spans="1:23" x14ac:dyDescent="0.25">
      <c r="A13" s="12"/>
      <c r="B13" s="12"/>
      <c r="C13" s="15"/>
      <c r="D13" s="12"/>
      <c r="E13" s="13"/>
      <c r="F13" s="15"/>
      <c r="G13" s="15"/>
      <c r="H13" s="15"/>
      <c r="I13" s="15"/>
      <c r="J13" s="15"/>
      <c r="K13" s="15"/>
      <c r="L13" s="16"/>
      <c r="M13" s="15"/>
    </row>
  </sheetData>
  <printOptions gridLines="1"/>
  <pageMargins left="0.70866141732283472" right="0.70866141732283472" top="0.74803149606299213" bottom="0.74803149606299213"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66F32-03EE-4D37-8CF0-ED35E9E5BE60}">
  <dimension ref="A1:W38"/>
  <sheetViews>
    <sheetView view="pageBreakPreview" zoomScaleNormal="115" zoomScaleSheetLayoutView="100" workbookViewId="0">
      <selection activeCell="Q27" sqref="Q27"/>
    </sheetView>
  </sheetViews>
  <sheetFormatPr defaultColWidth="9.140625" defaultRowHeight="15" x14ac:dyDescent="0.25"/>
  <cols>
    <col min="1" max="1" width="5.7109375" style="15" customWidth="1"/>
    <col min="2" max="2" width="7.42578125" style="15" customWidth="1"/>
    <col min="3" max="3" width="4.85546875" style="15" customWidth="1"/>
    <col min="4" max="4" width="17.42578125" style="15" customWidth="1"/>
    <col min="5" max="5" width="18.5703125" style="15" customWidth="1"/>
    <col min="6" max="6" width="8.5703125" style="15" customWidth="1"/>
    <col min="7" max="7" width="8" style="15" customWidth="1"/>
    <col min="8" max="8" width="6.85546875" style="15" customWidth="1"/>
    <col min="9" max="9" width="7.7109375" style="15" customWidth="1"/>
    <col min="10" max="10" width="9.42578125" style="15" customWidth="1"/>
    <col min="11" max="11" width="7.42578125" style="15" customWidth="1"/>
    <col min="12" max="12" width="32.42578125" style="15" customWidth="1"/>
    <col min="13" max="13" width="34.7109375" style="15" customWidth="1"/>
    <col min="14" max="14" width="34.5703125" style="15" customWidth="1"/>
    <col min="24" max="16384" width="9.140625" style="1"/>
  </cols>
  <sheetData>
    <row r="1" spans="1:23" s="59" customFormat="1" x14ac:dyDescent="0.25">
      <c r="A1" s="21" t="s">
        <v>0</v>
      </c>
      <c r="B1" s="21"/>
      <c r="C1" s="22"/>
      <c r="D1" s="22"/>
      <c r="E1" s="15"/>
      <c r="F1" s="22"/>
      <c r="G1" s="22"/>
      <c r="H1" s="22"/>
      <c r="I1" s="22"/>
      <c r="J1" s="22"/>
      <c r="K1" s="22"/>
      <c r="L1" s="22"/>
      <c r="M1" s="22"/>
      <c r="N1" s="22"/>
      <c r="O1"/>
      <c r="P1"/>
      <c r="Q1"/>
      <c r="R1"/>
      <c r="S1"/>
      <c r="T1"/>
      <c r="U1"/>
      <c r="V1"/>
      <c r="W1"/>
    </row>
    <row r="2" spans="1:23" s="59" customFormat="1" x14ac:dyDescent="0.25">
      <c r="A2" s="21" t="s">
        <v>53</v>
      </c>
      <c r="B2" s="21"/>
      <c r="C2" s="22"/>
      <c r="D2" s="22"/>
      <c r="E2" s="15"/>
      <c r="F2" s="22"/>
      <c r="G2" s="22"/>
      <c r="H2" s="22"/>
      <c r="I2" s="22"/>
      <c r="J2" s="22"/>
      <c r="K2" s="22"/>
      <c r="L2" s="22"/>
      <c r="M2" s="22"/>
      <c r="N2" s="22"/>
      <c r="O2"/>
      <c r="P2"/>
      <c r="Q2"/>
      <c r="R2"/>
      <c r="S2"/>
      <c r="T2"/>
      <c r="U2"/>
      <c r="V2"/>
      <c r="W2"/>
    </row>
    <row r="3" spans="1:23" s="59" customFormat="1" x14ac:dyDescent="0.25">
      <c r="A3" s="21" t="s">
        <v>1177</v>
      </c>
      <c r="B3" s="21"/>
      <c r="C3" s="22"/>
      <c r="D3" s="22"/>
      <c r="E3" s="15"/>
      <c r="F3" s="22"/>
      <c r="G3" s="22"/>
      <c r="H3" s="22"/>
      <c r="I3" s="22"/>
      <c r="J3" s="22"/>
      <c r="K3" s="22"/>
      <c r="L3" s="22"/>
      <c r="M3" s="22"/>
      <c r="N3" s="22"/>
      <c r="O3"/>
      <c r="P3"/>
      <c r="Q3"/>
      <c r="R3"/>
      <c r="S3"/>
      <c r="T3"/>
      <c r="U3"/>
      <c r="V3"/>
      <c r="W3"/>
    </row>
    <row r="4" spans="1:23" s="60" customFormat="1" ht="22.5" x14ac:dyDescent="0.25">
      <c r="A4" s="10" t="s">
        <v>1</v>
      </c>
      <c r="B4" s="10" t="s">
        <v>2</v>
      </c>
      <c r="C4" s="10" t="s">
        <v>3</v>
      </c>
      <c r="D4" s="10" t="s">
        <v>4</v>
      </c>
      <c r="E4" s="10" t="s">
        <v>5</v>
      </c>
      <c r="F4" s="10" t="s">
        <v>7</v>
      </c>
      <c r="G4" s="13" t="s">
        <v>8</v>
      </c>
      <c r="H4" s="13" t="s">
        <v>9</v>
      </c>
      <c r="I4" s="12" t="s">
        <v>10</v>
      </c>
      <c r="J4" s="12" t="s">
        <v>11</v>
      </c>
      <c r="K4" s="13" t="s">
        <v>54</v>
      </c>
      <c r="L4" s="23" t="s">
        <v>55</v>
      </c>
      <c r="M4" s="23" t="s">
        <v>14</v>
      </c>
      <c r="N4" s="95"/>
      <c r="O4"/>
      <c r="P4"/>
      <c r="Q4"/>
      <c r="R4"/>
      <c r="S4"/>
      <c r="T4"/>
      <c r="U4"/>
      <c r="V4"/>
      <c r="W4"/>
    </row>
    <row r="5" spans="1:23" s="3" customFormat="1" ht="22.5" x14ac:dyDescent="0.25">
      <c r="A5" s="15" t="s">
        <v>56</v>
      </c>
      <c r="B5" s="15">
        <v>3.1</v>
      </c>
      <c r="C5" s="15" t="s">
        <v>163</v>
      </c>
      <c r="D5" s="24" t="s">
        <v>73</v>
      </c>
      <c r="E5" s="24" t="s">
        <v>57</v>
      </c>
      <c r="F5" s="25" t="s">
        <v>22</v>
      </c>
      <c r="G5" s="125">
        <v>20</v>
      </c>
      <c r="H5" s="126">
        <v>10</v>
      </c>
      <c r="I5" s="126">
        <v>1</v>
      </c>
      <c r="J5" s="124">
        <f>365/7</f>
        <v>52.142857142857146</v>
      </c>
      <c r="K5" s="125">
        <f t="shared" ref="K5:K31" si="0">G5*I5/J5</f>
        <v>0.38356164383561642</v>
      </c>
      <c r="L5" s="24" t="s">
        <v>86</v>
      </c>
      <c r="M5" s="24" t="s">
        <v>87</v>
      </c>
      <c r="N5" s="24"/>
      <c r="O5"/>
      <c r="P5"/>
      <c r="Q5"/>
      <c r="R5"/>
      <c r="S5"/>
      <c r="T5"/>
      <c r="U5"/>
      <c r="V5"/>
      <c r="W5"/>
    </row>
    <row r="6" spans="1:23" s="3" customFormat="1" ht="33.75" x14ac:dyDescent="0.25">
      <c r="A6" s="15" t="s">
        <v>56</v>
      </c>
      <c r="B6" s="15">
        <v>3.1</v>
      </c>
      <c r="C6" s="15" t="s">
        <v>163</v>
      </c>
      <c r="D6" s="24" t="s">
        <v>73</v>
      </c>
      <c r="E6" s="24" t="s">
        <v>60</v>
      </c>
      <c r="F6" s="25" t="s">
        <v>22</v>
      </c>
      <c r="G6" s="125">
        <v>3.5</v>
      </c>
      <c r="H6" s="126">
        <v>7</v>
      </c>
      <c r="I6" s="126">
        <v>1</v>
      </c>
      <c r="J6" s="124">
        <f>365/7</f>
        <v>52.142857142857146</v>
      </c>
      <c r="K6" s="125">
        <f t="shared" si="0"/>
        <v>6.7123287671232879E-2</v>
      </c>
      <c r="L6" s="24" t="s">
        <v>88</v>
      </c>
      <c r="M6" s="24" t="s">
        <v>74</v>
      </c>
      <c r="N6" s="24"/>
      <c r="O6"/>
      <c r="P6"/>
      <c r="Q6"/>
      <c r="R6"/>
      <c r="S6"/>
      <c r="T6"/>
      <c r="U6"/>
      <c r="V6"/>
      <c r="W6"/>
    </row>
    <row r="7" spans="1:23" s="3" customFormat="1" ht="22.5" x14ac:dyDescent="0.25">
      <c r="A7" s="15" t="s">
        <v>56</v>
      </c>
      <c r="B7" s="15">
        <v>3.1</v>
      </c>
      <c r="C7" s="15" t="s">
        <v>163</v>
      </c>
      <c r="D7" s="24" t="s">
        <v>73</v>
      </c>
      <c r="E7" s="24" t="s">
        <v>89</v>
      </c>
      <c r="F7" s="25" t="s">
        <v>22</v>
      </c>
      <c r="G7" s="125">
        <v>4.5</v>
      </c>
      <c r="H7" s="126">
        <v>7</v>
      </c>
      <c r="I7" s="126">
        <v>1</v>
      </c>
      <c r="J7" s="124">
        <f>365/7</f>
        <v>52.142857142857146</v>
      </c>
      <c r="K7" s="125">
        <f t="shared" si="0"/>
        <v>8.6301369863013691E-2</v>
      </c>
      <c r="L7" s="24" t="s">
        <v>90</v>
      </c>
      <c r="M7" s="24" t="s">
        <v>91</v>
      </c>
      <c r="N7" s="24"/>
      <c r="O7"/>
      <c r="P7"/>
      <c r="Q7"/>
      <c r="R7"/>
      <c r="S7"/>
      <c r="T7"/>
      <c r="U7"/>
      <c r="V7"/>
      <c r="W7"/>
    </row>
    <row r="8" spans="1:23" s="3" customFormat="1" ht="22.5" x14ac:dyDescent="0.25">
      <c r="A8" s="15" t="s">
        <v>56</v>
      </c>
      <c r="B8" s="15">
        <v>3.1</v>
      </c>
      <c r="C8" s="15" t="s">
        <v>163</v>
      </c>
      <c r="D8" s="24" t="s">
        <v>73</v>
      </c>
      <c r="E8" s="24" t="s">
        <v>92</v>
      </c>
      <c r="F8" s="25" t="s">
        <v>61</v>
      </c>
      <c r="G8" s="125">
        <v>4</v>
      </c>
      <c r="H8" s="126">
        <v>2</v>
      </c>
      <c r="I8" s="126">
        <v>1</v>
      </c>
      <c r="J8" s="124">
        <f>365/7*2</f>
        <v>104.28571428571429</v>
      </c>
      <c r="K8" s="125">
        <f t="shared" si="0"/>
        <v>3.8356164383561639E-2</v>
      </c>
      <c r="L8" s="24" t="s">
        <v>93</v>
      </c>
      <c r="M8" s="24" t="s">
        <v>94</v>
      </c>
      <c r="N8" s="24"/>
      <c r="O8"/>
      <c r="P8"/>
      <c r="Q8"/>
      <c r="R8"/>
      <c r="S8"/>
      <c r="T8"/>
      <c r="U8"/>
      <c r="V8"/>
      <c r="W8"/>
    </row>
    <row r="9" spans="1:23" s="3" customFormat="1" ht="22.5" x14ac:dyDescent="0.25">
      <c r="A9" s="15" t="s">
        <v>56</v>
      </c>
      <c r="B9" s="15">
        <v>3.1</v>
      </c>
      <c r="C9" s="15" t="s">
        <v>163</v>
      </c>
      <c r="D9" s="24" t="s">
        <v>75</v>
      </c>
      <c r="E9" s="24" t="s">
        <v>95</v>
      </c>
      <c r="F9" s="25" t="s">
        <v>22</v>
      </c>
      <c r="G9" s="125">
        <v>8.5</v>
      </c>
      <c r="H9" s="127">
        <v>3</v>
      </c>
      <c r="I9" s="126">
        <v>3</v>
      </c>
      <c r="J9" s="124">
        <f>365/7</f>
        <v>52.142857142857146</v>
      </c>
      <c r="K9" s="125">
        <f t="shared" si="0"/>
        <v>0.48904109589041095</v>
      </c>
      <c r="L9" s="24" t="s">
        <v>96</v>
      </c>
      <c r="M9" s="24" t="s">
        <v>97</v>
      </c>
      <c r="N9" s="24"/>
      <c r="O9"/>
      <c r="P9"/>
      <c r="Q9"/>
      <c r="R9"/>
      <c r="S9"/>
      <c r="T9"/>
      <c r="U9"/>
      <c r="V9"/>
      <c r="W9"/>
    </row>
    <row r="10" spans="1:23" s="3" customFormat="1" ht="22.5" x14ac:dyDescent="0.25">
      <c r="A10" s="15" t="s">
        <v>56</v>
      </c>
      <c r="B10" s="15">
        <v>3.1</v>
      </c>
      <c r="C10" s="15" t="s">
        <v>163</v>
      </c>
      <c r="D10" s="24" t="s">
        <v>75</v>
      </c>
      <c r="E10" s="24" t="s">
        <v>98</v>
      </c>
      <c r="F10" s="25" t="s">
        <v>99</v>
      </c>
      <c r="G10" s="125">
        <v>10</v>
      </c>
      <c r="H10" s="127">
        <v>1</v>
      </c>
      <c r="I10" s="126">
        <v>2</v>
      </c>
      <c r="J10" s="124">
        <f>365/7*2</f>
        <v>104.28571428571429</v>
      </c>
      <c r="K10" s="125">
        <f t="shared" si="0"/>
        <v>0.19178082191780821</v>
      </c>
      <c r="L10" s="24" t="s">
        <v>100</v>
      </c>
      <c r="M10" s="24" t="s">
        <v>101</v>
      </c>
      <c r="N10" s="24"/>
      <c r="O10"/>
      <c r="P10"/>
      <c r="Q10"/>
      <c r="R10"/>
      <c r="S10"/>
      <c r="T10"/>
      <c r="U10"/>
      <c r="V10"/>
      <c r="W10"/>
    </row>
    <row r="11" spans="1:23" s="3" customFormat="1" ht="33.75" x14ac:dyDescent="0.25">
      <c r="A11" s="15" t="s">
        <v>56</v>
      </c>
      <c r="B11" s="15">
        <v>3.1</v>
      </c>
      <c r="C11" s="15" t="s">
        <v>163</v>
      </c>
      <c r="D11" s="24" t="s">
        <v>75</v>
      </c>
      <c r="E11" s="24" t="s">
        <v>102</v>
      </c>
      <c r="F11" s="25" t="s">
        <v>61</v>
      </c>
      <c r="G11" s="125">
        <v>10</v>
      </c>
      <c r="H11" s="126">
        <v>1</v>
      </c>
      <c r="I11" s="126">
        <v>2</v>
      </c>
      <c r="J11" s="124">
        <f>365/7*3</f>
        <v>156.42857142857144</v>
      </c>
      <c r="K11" s="125">
        <f t="shared" si="0"/>
        <v>0.12785388127853881</v>
      </c>
      <c r="L11" s="24" t="s">
        <v>103</v>
      </c>
      <c r="M11" s="24" t="s">
        <v>104</v>
      </c>
      <c r="N11" s="24"/>
      <c r="O11"/>
      <c r="P11"/>
      <c r="Q11"/>
      <c r="R11"/>
      <c r="S11"/>
      <c r="T11"/>
      <c r="U11"/>
      <c r="V11"/>
      <c r="W11"/>
    </row>
    <row r="12" spans="1:23" s="3" customFormat="1" ht="33.75" x14ac:dyDescent="0.25">
      <c r="A12" s="15" t="s">
        <v>56</v>
      </c>
      <c r="B12" s="15">
        <v>3.1</v>
      </c>
      <c r="C12" s="15" t="s">
        <v>163</v>
      </c>
      <c r="D12" s="24" t="s">
        <v>75</v>
      </c>
      <c r="E12" s="24" t="s">
        <v>105</v>
      </c>
      <c r="F12" s="25" t="s">
        <v>61</v>
      </c>
      <c r="G12" s="125">
        <v>12</v>
      </c>
      <c r="H12" s="126"/>
      <c r="I12" s="126">
        <v>1</v>
      </c>
      <c r="J12" s="124">
        <f>365/7*3</f>
        <v>156.42857142857144</v>
      </c>
      <c r="K12" s="125">
        <f>G12*I12/J12</f>
        <v>7.6712328767123278E-2</v>
      </c>
      <c r="L12" s="24" t="s">
        <v>103</v>
      </c>
      <c r="M12" s="24" t="s">
        <v>106</v>
      </c>
      <c r="N12" s="24"/>
      <c r="O12"/>
      <c r="P12"/>
      <c r="Q12"/>
      <c r="R12"/>
      <c r="S12"/>
      <c r="T12"/>
      <c r="U12"/>
      <c r="V12"/>
      <c r="W12"/>
    </row>
    <row r="13" spans="1:23" s="3" customFormat="1" ht="33.75" x14ac:dyDescent="0.25">
      <c r="A13" s="15" t="s">
        <v>56</v>
      </c>
      <c r="B13" s="15">
        <v>3.1</v>
      </c>
      <c r="C13" s="15" t="s">
        <v>163</v>
      </c>
      <c r="D13" s="24" t="s">
        <v>75</v>
      </c>
      <c r="E13" s="24" t="s">
        <v>107</v>
      </c>
      <c r="F13" s="25" t="s">
        <v>61</v>
      </c>
      <c r="G13" s="125">
        <v>9</v>
      </c>
      <c r="H13" s="126"/>
      <c r="I13" s="126">
        <v>2</v>
      </c>
      <c r="J13" s="124">
        <f>365/7*3</f>
        <v>156.42857142857144</v>
      </c>
      <c r="K13" s="125">
        <f t="shared" si="0"/>
        <v>0.11506849315068492</v>
      </c>
      <c r="L13" s="24" t="s">
        <v>108</v>
      </c>
      <c r="M13" s="24" t="s">
        <v>109</v>
      </c>
      <c r="N13" s="24"/>
      <c r="O13"/>
      <c r="P13"/>
      <c r="Q13"/>
      <c r="R13"/>
      <c r="S13"/>
      <c r="T13"/>
      <c r="U13"/>
      <c r="V13"/>
      <c r="W13"/>
    </row>
    <row r="14" spans="1:23" s="3" customFormat="1" ht="33.75" x14ac:dyDescent="0.25">
      <c r="A14" s="15" t="s">
        <v>56</v>
      </c>
      <c r="B14" s="15">
        <v>3.1</v>
      </c>
      <c r="C14" s="15" t="s">
        <v>163</v>
      </c>
      <c r="D14" s="24" t="s">
        <v>75</v>
      </c>
      <c r="E14" s="24" t="s">
        <v>110</v>
      </c>
      <c r="F14" s="25" t="s">
        <v>61</v>
      </c>
      <c r="G14" s="125">
        <v>8</v>
      </c>
      <c r="H14" s="126">
        <v>1</v>
      </c>
      <c r="I14" s="126">
        <v>1</v>
      </c>
      <c r="J14" s="124">
        <f>365/7*3</f>
        <v>156.42857142857144</v>
      </c>
      <c r="K14" s="125">
        <f>G14*I14/J14</f>
        <v>5.1141552511415521E-2</v>
      </c>
      <c r="L14" s="24" t="s">
        <v>108</v>
      </c>
      <c r="M14" s="24" t="s">
        <v>111</v>
      </c>
      <c r="N14" s="24"/>
      <c r="O14"/>
      <c r="P14"/>
      <c r="Q14"/>
      <c r="R14"/>
      <c r="S14"/>
      <c r="T14"/>
      <c r="U14"/>
      <c r="V14"/>
      <c r="W14"/>
    </row>
    <row r="15" spans="1:23" s="3" customFormat="1" ht="22.5" x14ac:dyDescent="0.25">
      <c r="A15" s="15" t="s">
        <v>56</v>
      </c>
      <c r="B15" s="15">
        <v>3.1</v>
      </c>
      <c r="C15" s="15" t="s">
        <v>163</v>
      </c>
      <c r="D15" s="24" t="s">
        <v>75</v>
      </c>
      <c r="E15" s="24" t="s">
        <v>76</v>
      </c>
      <c r="F15" s="25" t="s">
        <v>69</v>
      </c>
      <c r="G15" s="125">
        <v>5</v>
      </c>
      <c r="H15" s="127">
        <v>2</v>
      </c>
      <c r="I15" s="126">
        <v>2</v>
      </c>
      <c r="J15" s="124">
        <f>365/7*2</f>
        <v>104.28571428571429</v>
      </c>
      <c r="K15" s="125">
        <f t="shared" si="0"/>
        <v>9.5890410958904104E-2</v>
      </c>
      <c r="L15" s="24" t="s">
        <v>112</v>
      </c>
      <c r="M15" s="24" t="s">
        <v>113</v>
      </c>
      <c r="N15" s="24"/>
      <c r="O15"/>
      <c r="P15"/>
      <c r="Q15"/>
      <c r="R15"/>
      <c r="S15"/>
      <c r="T15"/>
      <c r="U15"/>
      <c r="V15"/>
      <c r="W15"/>
    </row>
    <row r="16" spans="1:23" s="3" customFormat="1" ht="45" x14ac:dyDescent="0.25">
      <c r="A16" s="15" t="s">
        <v>56</v>
      </c>
      <c r="B16" s="15">
        <v>3.1</v>
      </c>
      <c r="C16" s="15" t="s">
        <v>163</v>
      </c>
      <c r="D16" s="24" t="s">
        <v>75</v>
      </c>
      <c r="E16" s="24" t="s">
        <v>65</v>
      </c>
      <c r="F16" s="25" t="s">
        <v>59</v>
      </c>
      <c r="G16" s="125">
        <v>9</v>
      </c>
      <c r="H16" s="126">
        <v>1</v>
      </c>
      <c r="I16" s="126">
        <v>2</v>
      </c>
      <c r="J16" s="124">
        <f>365/7*4</f>
        <v>208.57142857142858</v>
      </c>
      <c r="K16" s="125">
        <f t="shared" si="0"/>
        <v>8.6301369863013691E-2</v>
      </c>
      <c r="L16" s="24" t="s">
        <v>114</v>
      </c>
      <c r="M16" s="24" t="s">
        <v>115</v>
      </c>
      <c r="N16" s="24"/>
      <c r="O16"/>
      <c r="P16"/>
      <c r="Q16"/>
      <c r="R16"/>
      <c r="S16"/>
      <c r="T16"/>
      <c r="U16"/>
      <c r="V16"/>
      <c r="W16"/>
    </row>
    <row r="17" spans="1:23" s="62" customFormat="1" ht="45" x14ac:dyDescent="0.25">
      <c r="A17" s="24" t="s">
        <v>56</v>
      </c>
      <c r="B17" s="24">
        <v>3.1</v>
      </c>
      <c r="C17" s="15" t="s">
        <v>163</v>
      </c>
      <c r="D17" s="24" t="s">
        <v>75</v>
      </c>
      <c r="E17" s="24" t="s">
        <v>65</v>
      </c>
      <c r="F17" s="25" t="s">
        <v>59</v>
      </c>
      <c r="G17" s="125">
        <v>16</v>
      </c>
      <c r="H17" s="126">
        <v>1</v>
      </c>
      <c r="I17" s="126">
        <v>2</v>
      </c>
      <c r="J17" s="124">
        <f>365/7*4</f>
        <v>208.57142857142858</v>
      </c>
      <c r="K17" s="125">
        <f t="shared" si="0"/>
        <v>0.15342465753424656</v>
      </c>
      <c r="L17" s="24" t="s">
        <v>114</v>
      </c>
      <c r="M17" s="24" t="s">
        <v>116</v>
      </c>
      <c r="N17" s="96"/>
      <c r="O17"/>
      <c r="P17"/>
      <c r="Q17"/>
      <c r="R17"/>
      <c r="S17"/>
      <c r="T17"/>
      <c r="U17"/>
      <c r="V17"/>
      <c r="W17"/>
    </row>
    <row r="18" spans="1:23" s="60" customFormat="1" ht="22.5" x14ac:dyDescent="0.25">
      <c r="A18" s="10" t="s">
        <v>1</v>
      </c>
      <c r="B18" s="10" t="s">
        <v>2</v>
      </c>
      <c r="C18" s="10" t="s">
        <v>3</v>
      </c>
      <c r="D18" s="10" t="s">
        <v>4</v>
      </c>
      <c r="E18" s="10" t="s">
        <v>5</v>
      </c>
      <c r="F18" s="10" t="s">
        <v>7</v>
      </c>
      <c r="G18" s="13" t="s">
        <v>8</v>
      </c>
      <c r="H18" s="13" t="s">
        <v>9</v>
      </c>
      <c r="I18" s="12" t="s">
        <v>10</v>
      </c>
      <c r="J18" s="12" t="s">
        <v>11</v>
      </c>
      <c r="K18" s="13" t="s">
        <v>54</v>
      </c>
      <c r="L18" s="23" t="s">
        <v>55</v>
      </c>
      <c r="M18" s="23" t="s">
        <v>14</v>
      </c>
      <c r="N18" s="95"/>
      <c r="O18" s="139"/>
      <c r="P18" s="139"/>
      <c r="Q18" s="139"/>
      <c r="R18" s="139"/>
      <c r="S18" s="139"/>
      <c r="T18" s="139"/>
      <c r="U18" s="139"/>
      <c r="V18" s="139"/>
      <c r="W18" s="139"/>
    </row>
    <row r="19" spans="1:23" s="3" customFormat="1" ht="22.5" x14ac:dyDescent="0.25">
      <c r="A19" s="15" t="s">
        <v>56</v>
      </c>
      <c r="B19" s="15">
        <v>3.1</v>
      </c>
      <c r="C19" s="15" t="s">
        <v>163</v>
      </c>
      <c r="D19" s="24" t="s">
        <v>75</v>
      </c>
      <c r="E19" s="24" t="s">
        <v>117</v>
      </c>
      <c r="F19" s="25" t="s">
        <v>59</v>
      </c>
      <c r="G19" s="125">
        <v>14</v>
      </c>
      <c r="H19" s="126">
        <v>1</v>
      </c>
      <c r="I19" s="126">
        <v>1</v>
      </c>
      <c r="J19" s="124">
        <f>365/7*4</f>
        <v>208.57142857142858</v>
      </c>
      <c r="K19" s="125">
        <f t="shared" si="0"/>
        <v>6.7123287671232879E-2</v>
      </c>
      <c r="L19" s="24" t="s">
        <v>118</v>
      </c>
      <c r="M19" s="24" t="s">
        <v>119</v>
      </c>
      <c r="N19" s="24"/>
      <c r="O19"/>
      <c r="P19"/>
      <c r="Q19"/>
      <c r="R19"/>
      <c r="S19"/>
      <c r="T19"/>
      <c r="U19"/>
      <c r="V19"/>
      <c r="W19"/>
    </row>
    <row r="20" spans="1:23" s="3" customFormat="1" ht="22.5" x14ac:dyDescent="0.25">
      <c r="A20" s="15" t="s">
        <v>56</v>
      </c>
      <c r="B20" s="15">
        <v>3.1</v>
      </c>
      <c r="C20" s="15" t="s">
        <v>163</v>
      </c>
      <c r="D20" s="24" t="s">
        <v>75</v>
      </c>
      <c r="E20" s="24" t="s">
        <v>77</v>
      </c>
      <c r="F20" s="25" t="s">
        <v>59</v>
      </c>
      <c r="G20" s="125">
        <v>14</v>
      </c>
      <c r="H20" s="127">
        <v>1</v>
      </c>
      <c r="I20" s="126">
        <v>3</v>
      </c>
      <c r="J20" s="124">
        <f>365/7*2</f>
        <v>104.28571428571429</v>
      </c>
      <c r="K20" s="125">
        <f t="shared" si="0"/>
        <v>0.40273972602739722</v>
      </c>
      <c r="L20" s="24" t="s">
        <v>120</v>
      </c>
      <c r="M20" s="24" t="s">
        <v>121</v>
      </c>
      <c r="N20" s="24"/>
      <c r="O20"/>
      <c r="P20"/>
      <c r="Q20"/>
      <c r="R20"/>
      <c r="S20"/>
      <c r="T20"/>
      <c r="U20"/>
      <c r="V20"/>
      <c r="W20"/>
    </row>
    <row r="21" spans="1:23" s="62" customFormat="1" ht="22.5" x14ac:dyDescent="0.25">
      <c r="A21" s="24" t="s">
        <v>56</v>
      </c>
      <c r="B21" s="24">
        <v>3.1</v>
      </c>
      <c r="C21" s="15" t="s">
        <v>163</v>
      </c>
      <c r="D21" s="24" t="s">
        <v>75</v>
      </c>
      <c r="E21" s="24" t="s">
        <v>62</v>
      </c>
      <c r="F21" s="25" t="s">
        <v>22</v>
      </c>
      <c r="G21" s="127">
        <v>15</v>
      </c>
      <c r="H21" s="127">
        <v>1</v>
      </c>
      <c r="I21" s="126">
        <v>3</v>
      </c>
      <c r="J21" s="124">
        <f>365/7*4</f>
        <v>208.57142857142858</v>
      </c>
      <c r="K21" s="125">
        <f t="shared" si="0"/>
        <v>0.21575342465753422</v>
      </c>
      <c r="L21" s="24" t="s">
        <v>122</v>
      </c>
      <c r="M21" s="24" t="s">
        <v>123</v>
      </c>
      <c r="N21" s="24"/>
      <c r="O21"/>
      <c r="P21"/>
      <c r="Q21"/>
      <c r="R21"/>
      <c r="S21"/>
      <c r="T21"/>
      <c r="U21"/>
      <c r="V21"/>
      <c r="W21"/>
    </row>
    <row r="22" spans="1:23" s="62" customFormat="1" ht="33.75" x14ac:dyDescent="0.25">
      <c r="A22" s="24" t="s">
        <v>56</v>
      </c>
      <c r="B22" s="24">
        <v>3.1</v>
      </c>
      <c r="C22" s="15" t="s">
        <v>163</v>
      </c>
      <c r="D22" s="24" t="s">
        <v>75</v>
      </c>
      <c r="E22" s="24" t="s">
        <v>64</v>
      </c>
      <c r="F22" s="25" t="s">
        <v>69</v>
      </c>
      <c r="G22" s="125">
        <v>15</v>
      </c>
      <c r="H22" s="127">
        <v>2</v>
      </c>
      <c r="I22" s="126">
        <v>1</v>
      </c>
      <c r="J22" s="124">
        <f>365/7</f>
        <v>52.142857142857146</v>
      </c>
      <c r="K22" s="125">
        <f t="shared" si="0"/>
        <v>0.28767123287671231</v>
      </c>
      <c r="L22" s="24" t="s">
        <v>124</v>
      </c>
      <c r="M22" s="24" t="s">
        <v>125</v>
      </c>
      <c r="N22" s="24"/>
      <c r="O22"/>
      <c r="P22"/>
      <c r="Q22"/>
      <c r="R22"/>
      <c r="S22"/>
      <c r="T22"/>
      <c r="U22"/>
      <c r="V22"/>
      <c r="W22"/>
    </row>
    <row r="23" spans="1:23" s="62" customFormat="1" ht="33.75" x14ac:dyDescent="0.25">
      <c r="A23" s="24" t="s">
        <v>56</v>
      </c>
      <c r="B23" s="24">
        <v>3.1</v>
      </c>
      <c r="C23" s="15" t="s">
        <v>163</v>
      </c>
      <c r="D23" s="24" t="s">
        <v>75</v>
      </c>
      <c r="E23" s="24" t="s">
        <v>63</v>
      </c>
      <c r="F23" s="25" t="s">
        <v>61</v>
      </c>
      <c r="G23" s="125">
        <v>10</v>
      </c>
      <c r="H23" s="127">
        <v>1</v>
      </c>
      <c r="I23" s="126">
        <v>2</v>
      </c>
      <c r="J23" s="124">
        <f>365/7*2</f>
        <v>104.28571428571429</v>
      </c>
      <c r="K23" s="125">
        <f t="shared" si="0"/>
        <v>0.19178082191780821</v>
      </c>
      <c r="L23" s="24" t="s">
        <v>126</v>
      </c>
      <c r="M23" s="24" t="s">
        <v>78</v>
      </c>
      <c r="N23" s="24"/>
      <c r="O23"/>
      <c r="P23"/>
      <c r="Q23"/>
      <c r="R23"/>
      <c r="S23"/>
      <c r="T23"/>
      <c r="U23"/>
      <c r="V23"/>
      <c r="W23"/>
    </row>
    <row r="24" spans="1:23" s="3" customFormat="1" ht="22.5" x14ac:dyDescent="0.25">
      <c r="A24" s="24" t="s">
        <v>56</v>
      </c>
      <c r="B24" s="24">
        <v>3.1</v>
      </c>
      <c r="C24" s="15" t="s">
        <v>163</v>
      </c>
      <c r="D24" s="24" t="s">
        <v>75</v>
      </c>
      <c r="E24" s="24" t="s">
        <v>127</v>
      </c>
      <c r="F24" s="25" t="s">
        <v>59</v>
      </c>
      <c r="G24" s="125">
        <v>50</v>
      </c>
      <c r="H24" s="126"/>
      <c r="I24" s="126">
        <v>1</v>
      </c>
      <c r="J24" s="124">
        <f>365/7*5</f>
        <v>260.71428571428572</v>
      </c>
      <c r="K24" s="125">
        <f t="shared" si="0"/>
        <v>0.19178082191780821</v>
      </c>
      <c r="L24" s="24" t="s">
        <v>128</v>
      </c>
      <c r="M24" s="24" t="s">
        <v>129</v>
      </c>
      <c r="N24" s="24"/>
      <c r="O24"/>
      <c r="P24"/>
      <c r="Q24"/>
      <c r="R24"/>
      <c r="S24"/>
      <c r="T24"/>
      <c r="U24"/>
      <c r="V24"/>
      <c r="W24"/>
    </row>
    <row r="25" spans="1:23" s="3" customFormat="1" ht="22.5" x14ac:dyDescent="0.25">
      <c r="A25" s="24" t="s">
        <v>56</v>
      </c>
      <c r="B25" s="24">
        <v>3.1</v>
      </c>
      <c r="C25" s="15" t="s">
        <v>163</v>
      </c>
      <c r="D25" s="24" t="s">
        <v>75</v>
      </c>
      <c r="E25" s="24" t="s">
        <v>82</v>
      </c>
      <c r="F25" s="25" t="s">
        <v>59</v>
      </c>
      <c r="G25" s="125">
        <v>12</v>
      </c>
      <c r="H25" s="126"/>
      <c r="I25" s="126">
        <v>1</v>
      </c>
      <c r="J25" s="124">
        <f>365/7*5</f>
        <v>260.71428571428572</v>
      </c>
      <c r="K25" s="125">
        <f t="shared" si="0"/>
        <v>4.6027397260273974E-2</v>
      </c>
      <c r="L25" s="24" t="s">
        <v>130</v>
      </c>
      <c r="M25" s="24" t="s">
        <v>131</v>
      </c>
      <c r="N25" s="24"/>
      <c r="O25"/>
      <c r="P25"/>
      <c r="Q25"/>
      <c r="R25"/>
      <c r="S25"/>
      <c r="T25"/>
      <c r="U25"/>
      <c r="V25"/>
      <c r="W25"/>
    </row>
    <row r="26" spans="1:23" s="62" customFormat="1" ht="33.75" x14ac:dyDescent="0.25">
      <c r="A26" s="24" t="s">
        <v>56</v>
      </c>
      <c r="B26" s="24">
        <v>3.1</v>
      </c>
      <c r="C26" s="15" t="s">
        <v>163</v>
      </c>
      <c r="D26" s="24" t="s">
        <v>75</v>
      </c>
      <c r="E26" s="24" t="s">
        <v>132</v>
      </c>
      <c r="F26" s="25" t="s">
        <v>59</v>
      </c>
      <c r="G26" s="125">
        <v>28</v>
      </c>
      <c r="H26" s="126"/>
      <c r="I26" s="126">
        <v>1</v>
      </c>
      <c r="J26" s="124">
        <f>365/7*2</f>
        <v>104.28571428571429</v>
      </c>
      <c r="K26" s="125">
        <f t="shared" si="0"/>
        <v>0.26849315068493151</v>
      </c>
      <c r="L26" s="24" t="s">
        <v>133</v>
      </c>
      <c r="M26" s="24" t="s">
        <v>134</v>
      </c>
      <c r="N26" s="24"/>
      <c r="O26"/>
      <c r="P26"/>
      <c r="Q26"/>
      <c r="R26"/>
      <c r="S26"/>
      <c r="T26"/>
      <c r="U26"/>
      <c r="V26"/>
      <c r="W26"/>
    </row>
    <row r="27" spans="1:23" s="3" customFormat="1" ht="22.5" x14ac:dyDescent="0.25">
      <c r="A27" s="24" t="s">
        <v>56</v>
      </c>
      <c r="B27" s="24">
        <v>3.1</v>
      </c>
      <c r="C27" s="15" t="s">
        <v>163</v>
      </c>
      <c r="D27" s="24" t="s">
        <v>75</v>
      </c>
      <c r="E27" s="24" t="s">
        <v>68</v>
      </c>
      <c r="F27" s="25" t="s">
        <v>71</v>
      </c>
      <c r="G27" s="125">
        <v>69.989999999999995</v>
      </c>
      <c r="H27" s="126"/>
      <c r="I27" s="126">
        <v>1</v>
      </c>
      <c r="J27" s="124">
        <f>365/7*10</f>
        <v>521.42857142857144</v>
      </c>
      <c r="K27" s="125">
        <f t="shared" si="0"/>
        <v>0.13422739726027397</v>
      </c>
      <c r="L27" s="24" t="s">
        <v>135</v>
      </c>
      <c r="M27" s="24" t="s">
        <v>136</v>
      </c>
      <c r="N27" s="96"/>
      <c r="O27"/>
      <c r="P27"/>
      <c r="Q27"/>
      <c r="R27"/>
      <c r="S27"/>
      <c r="T27"/>
      <c r="U27"/>
      <c r="V27"/>
      <c r="W27"/>
    </row>
    <row r="28" spans="1:23" s="3" customFormat="1" x14ac:dyDescent="0.25">
      <c r="A28" s="24" t="s">
        <v>56</v>
      </c>
      <c r="B28" s="24">
        <v>3.1</v>
      </c>
      <c r="C28" s="15" t="s">
        <v>163</v>
      </c>
      <c r="D28" s="24" t="s">
        <v>75</v>
      </c>
      <c r="E28" s="24" t="s">
        <v>137</v>
      </c>
      <c r="F28" s="25" t="s">
        <v>59</v>
      </c>
      <c r="G28" s="125">
        <v>38</v>
      </c>
      <c r="H28" s="126"/>
      <c r="I28" s="126">
        <v>1</v>
      </c>
      <c r="J28" s="124">
        <f>365/7*10</f>
        <v>521.42857142857144</v>
      </c>
      <c r="K28" s="125">
        <f t="shared" si="0"/>
        <v>7.2876712328767121E-2</v>
      </c>
      <c r="L28" s="24" t="s">
        <v>138</v>
      </c>
      <c r="M28" s="24" t="s">
        <v>139</v>
      </c>
      <c r="N28" s="96"/>
      <c r="O28"/>
      <c r="P28"/>
      <c r="Q28"/>
      <c r="R28"/>
      <c r="S28"/>
      <c r="T28"/>
      <c r="U28"/>
      <c r="V28"/>
      <c r="W28"/>
    </row>
    <row r="29" spans="1:23" s="3" customFormat="1" x14ac:dyDescent="0.25">
      <c r="A29" s="24" t="s">
        <v>56</v>
      </c>
      <c r="B29" s="24">
        <v>3.1</v>
      </c>
      <c r="C29" s="15" t="s">
        <v>163</v>
      </c>
      <c r="D29" s="24" t="s">
        <v>83</v>
      </c>
      <c r="E29" s="24" t="s">
        <v>84</v>
      </c>
      <c r="F29" s="25" t="s">
        <v>61</v>
      </c>
      <c r="G29" s="125">
        <v>5</v>
      </c>
      <c r="H29" s="126"/>
      <c r="I29" s="126">
        <v>1</v>
      </c>
      <c r="J29" s="124">
        <f>365/7</f>
        <v>52.142857142857146</v>
      </c>
      <c r="K29" s="125">
        <f t="shared" si="0"/>
        <v>9.5890410958904104E-2</v>
      </c>
      <c r="L29" s="24" t="s">
        <v>140</v>
      </c>
      <c r="M29" s="24" t="s">
        <v>141</v>
      </c>
      <c r="N29" s="24"/>
      <c r="O29"/>
      <c r="P29"/>
      <c r="Q29"/>
      <c r="R29"/>
      <c r="S29"/>
      <c r="T29"/>
      <c r="U29"/>
      <c r="V29"/>
      <c r="W29"/>
    </row>
    <row r="30" spans="1:23" s="3" customFormat="1" x14ac:dyDescent="0.25">
      <c r="A30" s="24" t="s">
        <v>56</v>
      </c>
      <c r="B30" s="24">
        <v>3.1</v>
      </c>
      <c r="C30" s="15" t="s">
        <v>163</v>
      </c>
      <c r="D30" s="24" t="s">
        <v>75</v>
      </c>
      <c r="E30" s="24" t="s">
        <v>72</v>
      </c>
      <c r="F30" s="25" t="s">
        <v>59</v>
      </c>
      <c r="G30" s="125">
        <v>16</v>
      </c>
      <c r="H30" s="126"/>
      <c r="I30" s="126">
        <v>1</v>
      </c>
      <c r="J30" s="124">
        <f>365/7*10</f>
        <v>521.42857142857144</v>
      </c>
      <c r="K30" s="125">
        <f t="shared" si="0"/>
        <v>3.0684931506849315E-2</v>
      </c>
      <c r="L30" s="24" t="s">
        <v>142</v>
      </c>
      <c r="M30" s="24" t="s">
        <v>143</v>
      </c>
      <c r="N30" s="24"/>
      <c r="O30"/>
      <c r="P30"/>
      <c r="Q30"/>
      <c r="R30"/>
      <c r="S30"/>
      <c r="T30"/>
      <c r="U30"/>
      <c r="V30"/>
      <c r="W30"/>
    </row>
    <row r="31" spans="1:23" s="3" customFormat="1" x14ac:dyDescent="0.25">
      <c r="A31" s="24" t="s">
        <v>56</v>
      </c>
      <c r="B31" s="24">
        <v>3.1</v>
      </c>
      <c r="C31" s="15" t="s">
        <v>163</v>
      </c>
      <c r="D31" s="24" t="s">
        <v>75</v>
      </c>
      <c r="E31" s="24" t="s">
        <v>85</v>
      </c>
      <c r="F31" s="25" t="s">
        <v>22</v>
      </c>
      <c r="G31" s="125">
        <v>12.5</v>
      </c>
      <c r="H31" s="126"/>
      <c r="I31" s="126">
        <v>2</v>
      </c>
      <c r="J31" s="124">
        <f>365/7</f>
        <v>52.142857142857146</v>
      </c>
      <c r="K31" s="125">
        <f t="shared" si="0"/>
        <v>0.47945205479452052</v>
      </c>
      <c r="L31" s="24" t="s">
        <v>144</v>
      </c>
      <c r="M31" s="24" t="s">
        <v>145</v>
      </c>
      <c r="N31" s="24"/>
      <c r="O31"/>
      <c r="P31"/>
      <c r="Q31"/>
      <c r="R31"/>
      <c r="S31"/>
      <c r="T31"/>
      <c r="U31"/>
      <c r="V31"/>
      <c r="W31"/>
    </row>
    <row r="32" spans="1:23" s="3" customFormat="1" ht="22.5" x14ac:dyDescent="0.25">
      <c r="A32" s="24" t="s">
        <v>56</v>
      </c>
      <c r="B32" s="24">
        <v>3.1</v>
      </c>
      <c r="C32" s="15" t="s">
        <v>163</v>
      </c>
      <c r="D32" s="24" t="s">
        <v>79</v>
      </c>
      <c r="E32" s="24" t="s">
        <v>146</v>
      </c>
      <c r="F32" s="25" t="s">
        <v>59</v>
      </c>
      <c r="G32" s="125">
        <v>6</v>
      </c>
      <c r="H32" s="126"/>
      <c r="I32" s="126">
        <v>1</v>
      </c>
      <c r="J32" s="124">
        <f>365/7*10</f>
        <v>521.42857142857144</v>
      </c>
      <c r="K32" s="125">
        <f>G32*I32/J32</f>
        <v>1.1506849315068493E-2</v>
      </c>
      <c r="L32" s="24" t="s">
        <v>147</v>
      </c>
      <c r="M32" s="24" t="s">
        <v>148</v>
      </c>
      <c r="N32" s="24"/>
      <c r="O32"/>
      <c r="P32"/>
      <c r="Q32"/>
      <c r="R32"/>
      <c r="S32"/>
      <c r="T32"/>
      <c r="U32"/>
      <c r="V32"/>
      <c r="W32"/>
    </row>
    <row r="33" spans="1:14" ht="22.5" x14ac:dyDescent="0.25">
      <c r="A33" s="24" t="s">
        <v>56</v>
      </c>
      <c r="B33" s="24">
        <v>3.1</v>
      </c>
      <c r="C33" s="15" t="s">
        <v>163</v>
      </c>
      <c r="D33" s="24" t="s">
        <v>79</v>
      </c>
      <c r="E33" s="24" t="s">
        <v>66</v>
      </c>
      <c r="F33" s="25" t="s">
        <v>59</v>
      </c>
      <c r="G33" s="125">
        <v>6</v>
      </c>
      <c r="H33" s="126"/>
      <c r="I33" s="126">
        <v>1</v>
      </c>
      <c r="J33" s="124">
        <f>365/7*10</f>
        <v>521.42857142857144</v>
      </c>
      <c r="K33" s="125">
        <f>G33*I33/J33</f>
        <v>1.1506849315068493E-2</v>
      </c>
      <c r="L33" s="24" t="s">
        <v>147</v>
      </c>
      <c r="M33" s="24" t="s">
        <v>80</v>
      </c>
      <c r="N33" s="24"/>
    </row>
    <row r="34" spans="1:14" ht="22.5" x14ac:dyDescent="0.25">
      <c r="A34" s="24" t="s">
        <v>56</v>
      </c>
      <c r="B34" s="24">
        <v>3.1</v>
      </c>
      <c r="C34" s="15" t="s">
        <v>163</v>
      </c>
      <c r="D34" s="24" t="s">
        <v>79</v>
      </c>
      <c r="E34" s="24" t="s">
        <v>67</v>
      </c>
      <c r="F34" s="25" t="s">
        <v>59</v>
      </c>
      <c r="G34" s="125">
        <v>8</v>
      </c>
      <c r="H34" s="126"/>
      <c r="I34" s="126">
        <v>1</v>
      </c>
      <c r="J34" s="124">
        <f>365/7*10</f>
        <v>521.42857142857144</v>
      </c>
      <c r="K34" s="125">
        <f>G34*I34/J34</f>
        <v>1.5342465753424657E-2</v>
      </c>
      <c r="L34" s="24" t="s">
        <v>147</v>
      </c>
      <c r="M34" s="24" t="s">
        <v>81</v>
      </c>
      <c r="N34" s="24"/>
    </row>
    <row r="35" spans="1:14" ht="22.5" x14ac:dyDescent="0.25">
      <c r="A35" s="24" t="s">
        <v>56</v>
      </c>
      <c r="B35" s="24">
        <v>3.1</v>
      </c>
      <c r="C35" s="15" t="s">
        <v>163</v>
      </c>
      <c r="D35" s="24" t="s">
        <v>149</v>
      </c>
      <c r="E35" s="24" t="s">
        <v>150</v>
      </c>
      <c r="F35" s="25" t="s">
        <v>59</v>
      </c>
      <c r="G35" s="125">
        <v>4</v>
      </c>
      <c r="H35" s="126"/>
      <c r="I35" s="126">
        <v>2</v>
      </c>
      <c r="J35" s="124">
        <f>365/7*10</f>
        <v>521.42857142857144</v>
      </c>
      <c r="K35" s="125">
        <f>G35*I35/J35</f>
        <v>1.5342465753424657E-2</v>
      </c>
      <c r="L35" s="24" t="s">
        <v>151</v>
      </c>
      <c r="M35" s="24" t="s">
        <v>152</v>
      </c>
      <c r="N35" s="24"/>
    </row>
    <row r="36" spans="1:14" ht="22.5" x14ac:dyDescent="0.25">
      <c r="A36" s="24" t="s">
        <v>56</v>
      </c>
      <c r="B36" s="24">
        <v>3.1</v>
      </c>
      <c r="C36" s="15" t="s">
        <v>163</v>
      </c>
      <c r="D36" s="24" t="s">
        <v>153</v>
      </c>
      <c r="E36" s="24" t="s">
        <v>154</v>
      </c>
      <c r="F36" s="25" t="s">
        <v>22</v>
      </c>
      <c r="G36" s="125">
        <v>6</v>
      </c>
      <c r="H36" s="126"/>
      <c r="I36" s="126">
        <v>1</v>
      </c>
      <c r="J36" s="124">
        <f>365/7</f>
        <v>52.142857142857146</v>
      </c>
      <c r="K36" s="125">
        <f>G36*I36/J36</f>
        <v>0.11506849315068493</v>
      </c>
      <c r="L36" s="24" t="s">
        <v>155</v>
      </c>
      <c r="M36" s="24" t="s">
        <v>156</v>
      </c>
      <c r="N36" s="24"/>
    </row>
    <row r="37" spans="1:14" x14ac:dyDescent="0.25">
      <c r="A37" s="24"/>
      <c r="B37" s="24"/>
      <c r="D37" s="24"/>
      <c r="E37" s="24"/>
      <c r="F37" s="25"/>
      <c r="G37" s="125"/>
      <c r="H37" s="126"/>
      <c r="I37" s="126"/>
      <c r="J37" s="25"/>
      <c r="K37" s="125"/>
      <c r="L37" s="24"/>
      <c r="M37" s="24"/>
      <c r="N37" s="24"/>
    </row>
    <row r="38" spans="1:14" x14ac:dyDescent="0.25">
      <c r="E38" s="15" t="s">
        <v>1187</v>
      </c>
      <c r="F38" s="16">
        <f>SUM(K5:K36)</f>
        <v>4.6158255707762557</v>
      </c>
    </row>
  </sheetData>
  <printOptions gridLines="1"/>
  <pageMargins left="0.70866141732283472" right="0.70866141732283472" top="0.74803149606299213" bottom="0.74803149606299213" header="0.31496062992125984" footer="0.31496062992125984"/>
  <pageSetup paperSize="9" scale="77" orientation="landscape" r:id="rId1"/>
  <rowBreaks count="1" manualBreakCount="1">
    <brk id="1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5A70F-7037-4605-A6E6-EA6DEA966839}">
  <sheetPr>
    <pageSetUpPr fitToPage="1"/>
  </sheetPr>
  <dimension ref="A1:V16"/>
  <sheetViews>
    <sheetView view="pageBreakPreview" zoomScale="60" zoomScaleNormal="100" workbookViewId="0">
      <selection activeCell="L42" sqref="L42"/>
    </sheetView>
  </sheetViews>
  <sheetFormatPr defaultColWidth="9.140625" defaultRowHeight="15" x14ac:dyDescent="0.25"/>
  <cols>
    <col min="1" max="1" width="5.5703125" style="77" customWidth="1"/>
    <col min="2" max="2" width="7.140625" style="77" customWidth="1"/>
    <col min="3" max="3" width="6.42578125" style="77" customWidth="1"/>
    <col min="4" max="4" width="12.28515625" style="77" customWidth="1"/>
    <col min="5" max="6" width="9.140625" style="77"/>
    <col min="7" max="7" width="6.85546875" style="77" customWidth="1"/>
    <col min="8" max="10" width="9.140625" style="77"/>
    <col min="11" max="11" width="29.28515625" style="77" customWidth="1"/>
    <col min="12" max="12" width="29" style="77" customWidth="1"/>
    <col min="13" max="13" width="30.5703125" style="77" customWidth="1"/>
    <col min="14" max="21" width="8.7109375" customWidth="1"/>
    <col min="23" max="16384" width="9.140625" style="77"/>
  </cols>
  <sheetData>
    <row r="1" spans="1:22" s="22" customFormat="1" x14ac:dyDescent="0.25">
      <c r="A1" s="21" t="s">
        <v>0</v>
      </c>
      <c r="B1" s="21"/>
      <c r="E1" s="15"/>
      <c r="N1"/>
      <c r="O1"/>
      <c r="P1"/>
      <c r="Q1"/>
      <c r="R1"/>
      <c r="S1"/>
      <c r="T1"/>
      <c r="U1"/>
      <c r="V1"/>
    </row>
    <row r="2" spans="1:22" s="22" customFormat="1" x14ac:dyDescent="0.25">
      <c r="A2" s="21" t="s">
        <v>53</v>
      </c>
      <c r="B2" s="21"/>
      <c r="E2" s="15"/>
      <c r="N2"/>
      <c r="O2"/>
      <c r="P2"/>
      <c r="Q2"/>
      <c r="R2"/>
      <c r="S2"/>
      <c r="T2"/>
      <c r="U2"/>
      <c r="V2"/>
    </row>
    <row r="3" spans="1:22" s="22" customFormat="1" x14ac:dyDescent="0.25">
      <c r="A3" s="21" t="s">
        <v>1177</v>
      </c>
      <c r="B3" s="21"/>
      <c r="E3" s="15"/>
      <c r="N3"/>
      <c r="O3"/>
      <c r="P3"/>
      <c r="Q3"/>
      <c r="R3"/>
      <c r="S3"/>
      <c r="T3"/>
      <c r="U3"/>
      <c r="V3"/>
    </row>
    <row r="4" spans="1:22" s="10" customFormat="1" ht="22.5" x14ac:dyDescent="0.25">
      <c r="A4" s="10" t="s">
        <v>1</v>
      </c>
      <c r="B4" s="10" t="s">
        <v>2</v>
      </c>
      <c r="C4" s="10" t="s">
        <v>3</v>
      </c>
      <c r="D4" s="10" t="s">
        <v>4</v>
      </c>
      <c r="E4" s="10" t="s">
        <v>5</v>
      </c>
      <c r="F4" s="10" t="s">
        <v>7</v>
      </c>
      <c r="G4" s="23" t="s">
        <v>8</v>
      </c>
      <c r="H4" s="10" t="s">
        <v>10</v>
      </c>
      <c r="I4" s="10" t="s">
        <v>11</v>
      </c>
      <c r="J4" s="23" t="s">
        <v>54</v>
      </c>
      <c r="K4" s="23" t="s">
        <v>55</v>
      </c>
      <c r="L4" s="10" t="s">
        <v>14</v>
      </c>
      <c r="M4" s="95"/>
      <c r="N4"/>
      <c r="O4"/>
      <c r="P4"/>
      <c r="Q4"/>
      <c r="R4"/>
      <c r="S4"/>
      <c r="T4"/>
      <c r="U4"/>
      <c r="V4"/>
    </row>
    <row r="5" spans="1:22" s="3" customFormat="1" ht="22.5" x14ac:dyDescent="0.25">
      <c r="A5" s="24" t="s">
        <v>56</v>
      </c>
      <c r="B5" s="24">
        <v>3.2</v>
      </c>
      <c r="C5" s="24" t="s">
        <v>163</v>
      </c>
      <c r="D5" s="24" t="s">
        <v>160</v>
      </c>
      <c r="E5" s="24" t="s">
        <v>157</v>
      </c>
      <c r="F5" s="25" t="s">
        <v>22</v>
      </c>
      <c r="G5" s="125">
        <v>8</v>
      </c>
      <c r="H5" s="126">
        <v>1</v>
      </c>
      <c r="I5" s="124">
        <f>365/7</f>
        <v>52.142857142857146</v>
      </c>
      <c r="J5" s="125">
        <f>G5*H5/I5</f>
        <v>0.15342465753424656</v>
      </c>
      <c r="K5" s="24" t="s">
        <v>164</v>
      </c>
      <c r="L5" s="24" t="s">
        <v>165</v>
      </c>
      <c r="M5" s="15"/>
      <c r="N5"/>
      <c r="O5"/>
      <c r="P5"/>
      <c r="Q5"/>
      <c r="R5"/>
      <c r="S5"/>
      <c r="T5"/>
      <c r="U5"/>
      <c r="V5"/>
    </row>
    <row r="6" spans="1:22" s="3" customFormat="1" ht="38.25" customHeight="1" x14ac:dyDescent="0.25">
      <c r="A6" s="24" t="s">
        <v>56</v>
      </c>
      <c r="B6" s="24">
        <v>3.2</v>
      </c>
      <c r="C6" s="24" t="s">
        <v>163</v>
      </c>
      <c r="D6" s="24" t="s">
        <v>160</v>
      </c>
      <c r="E6" s="24" t="s">
        <v>161</v>
      </c>
      <c r="F6" s="25" t="s">
        <v>162</v>
      </c>
      <c r="G6" s="125">
        <v>60</v>
      </c>
      <c r="H6" s="126">
        <v>1</v>
      </c>
      <c r="I6" s="124">
        <f>365/7*2</f>
        <v>104.28571428571429</v>
      </c>
      <c r="J6" s="125">
        <f>G6*H6/I6</f>
        <v>0.57534246575342463</v>
      </c>
      <c r="K6" s="24" t="s">
        <v>166</v>
      </c>
      <c r="L6" s="15" t="s">
        <v>167</v>
      </c>
      <c r="M6" s="15"/>
      <c r="N6"/>
      <c r="O6"/>
      <c r="P6"/>
      <c r="Q6"/>
      <c r="R6"/>
      <c r="S6"/>
      <c r="T6"/>
      <c r="U6"/>
      <c r="V6"/>
    </row>
    <row r="7" spans="1:22" s="3" customFormat="1" ht="22.5" x14ac:dyDescent="0.25">
      <c r="A7" s="24" t="s">
        <v>56</v>
      </c>
      <c r="B7" s="24">
        <v>3.2</v>
      </c>
      <c r="C7" s="24" t="s">
        <v>163</v>
      </c>
      <c r="D7" s="24" t="s">
        <v>160</v>
      </c>
      <c r="E7" s="24" t="s">
        <v>158</v>
      </c>
      <c r="F7" s="25" t="s">
        <v>58</v>
      </c>
      <c r="G7" s="125">
        <v>27</v>
      </c>
      <c r="H7" s="126">
        <v>1</v>
      </c>
      <c r="I7" s="124">
        <f>365/7</f>
        <v>52.142857142857146</v>
      </c>
      <c r="J7" s="125">
        <f>G7*H7/I7</f>
        <v>0.51780821917808217</v>
      </c>
      <c r="K7" s="24" t="s">
        <v>168</v>
      </c>
      <c r="L7" s="24" t="s">
        <v>169</v>
      </c>
      <c r="M7" s="15"/>
      <c r="N7"/>
      <c r="O7"/>
      <c r="P7"/>
      <c r="Q7"/>
      <c r="R7"/>
      <c r="S7"/>
      <c r="T7"/>
      <c r="U7"/>
      <c r="V7"/>
    </row>
    <row r="8" spans="1:22" s="3" customFormat="1" ht="28.5" customHeight="1" x14ac:dyDescent="0.25">
      <c r="A8" s="24" t="s">
        <v>56</v>
      </c>
      <c r="B8" s="24">
        <v>3.2</v>
      </c>
      <c r="C8" s="24" t="s">
        <v>163</v>
      </c>
      <c r="D8" s="24" t="s">
        <v>160</v>
      </c>
      <c r="E8" s="24" t="s">
        <v>159</v>
      </c>
      <c r="F8" s="25" t="s">
        <v>162</v>
      </c>
      <c r="G8" s="125">
        <v>70</v>
      </c>
      <c r="H8" s="126">
        <v>1</v>
      </c>
      <c r="I8" s="124">
        <f>365/7*5</f>
        <v>260.71428571428572</v>
      </c>
      <c r="J8" s="125">
        <f>G8*H8/I8</f>
        <v>0.26849315068493151</v>
      </c>
      <c r="K8" s="24" t="s">
        <v>170</v>
      </c>
      <c r="L8" s="15" t="s">
        <v>171</v>
      </c>
      <c r="M8" s="15"/>
      <c r="N8"/>
      <c r="O8"/>
      <c r="P8"/>
      <c r="Q8"/>
      <c r="R8"/>
      <c r="S8"/>
      <c r="T8"/>
      <c r="U8"/>
      <c r="V8"/>
    </row>
    <row r="9" spans="1:22" s="3" customFormat="1" ht="38.25" customHeight="1" x14ac:dyDescent="0.25">
      <c r="A9" s="24" t="s">
        <v>56</v>
      </c>
      <c r="B9" s="24">
        <v>3.2</v>
      </c>
      <c r="C9" s="24" t="s">
        <v>163</v>
      </c>
      <c r="D9" s="24" t="s">
        <v>160</v>
      </c>
      <c r="E9" s="24" t="s">
        <v>172</v>
      </c>
      <c r="F9" s="25" t="s">
        <v>70</v>
      </c>
      <c r="G9" s="125">
        <v>60</v>
      </c>
      <c r="H9" s="126">
        <v>1</v>
      </c>
      <c r="I9" s="124">
        <f>365/7*10</f>
        <v>521.42857142857144</v>
      </c>
      <c r="J9" s="125">
        <f>G9*H9/I9</f>
        <v>0.11506849315068493</v>
      </c>
      <c r="K9" s="24" t="s">
        <v>173</v>
      </c>
      <c r="L9" s="15" t="s">
        <v>174</v>
      </c>
      <c r="M9" s="15"/>
      <c r="N9"/>
      <c r="O9"/>
      <c r="P9"/>
      <c r="Q9"/>
      <c r="R9"/>
      <c r="S9"/>
      <c r="T9"/>
      <c r="U9"/>
      <c r="V9"/>
    </row>
    <row r="10" spans="1:22" s="82" customFormat="1" x14ac:dyDescent="0.25">
      <c r="A10" s="77"/>
      <c r="B10" s="77"/>
      <c r="C10" s="77"/>
      <c r="D10" s="77"/>
      <c r="E10" s="77"/>
      <c r="F10" s="77"/>
      <c r="G10" s="77"/>
      <c r="H10" s="77"/>
      <c r="I10" s="77"/>
      <c r="J10" s="77"/>
      <c r="K10" s="77"/>
      <c r="L10" s="77"/>
      <c r="M10" s="77"/>
      <c r="N10"/>
      <c r="O10"/>
      <c r="P10"/>
      <c r="Q10"/>
      <c r="R10"/>
      <c r="S10"/>
      <c r="T10"/>
      <c r="U10"/>
      <c r="V10"/>
    </row>
    <row r="11" spans="1:22" s="82" customFormat="1" ht="22.5" x14ac:dyDescent="0.25">
      <c r="A11" s="77"/>
      <c r="B11" s="77"/>
      <c r="C11" s="77"/>
      <c r="D11" s="15" t="s">
        <v>1187</v>
      </c>
      <c r="E11" s="147">
        <f>SUM(J5:J9)</f>
        <v>1.6301369863013697</v>
      </c>
      <c r="F11" s="77"/>
      <c r="G11" s="77"/>
      <c r="H11" s="77"/>
      <c r="I11" s="77"/>
      <c r="J11" s="77"/>
      <c r="K11" s="77"/>
      <c r="L11" s="77"/>
      <c r="M11" s="77"/>
      <c r="N11"/>
      <c r="O11"/>
      <c r="P11"/>
      <c r="Q11"/>
      <c r="R11"/>
      <c r="S11"/>
      <c r="T11"/>
      <c r="U11"/>
      <c r="V11"/>
    </row>
    <row r="12" spans="1:22" s="82" customFormat="1" x14ac:dyDescent="0.25">
      <c r="A12" s="77"/>
      <c r="B12" s="77"/>
      <c r="C12" s="77"/>
      <c r="D12" s="77"/>
      <c r="E12" s="77"/>
      <c r="F12" s="77"/>
      <c r="G12" s="77"/>
      <c r="H12" s="77"/>
      <c r="I12" s="77"/>
      <c r="J12" s="77"/>
      <c r="K12" s="77"/>
      <c r="L12" s="77"/>
      <c r="M12" s="77"/>
      <c r="N12"/>
      <c r="O12"/>
      <c r="P12"/>
      <c r="Q12"/>
      <c r="R12"/>
      <c r="S12"/>
      <c r="T12"/>
      <c r="U12"/>
      <c r="V12"/>
    </row>
    <row r="13" spans="1:22" s="82" customFormat="1" x14ac:dyDescent="0.25">
      <c r="A13" s="77"/>
      <c r="B13" s="77"/>
      <c r="C13" s="77"/>
      <c r="D13" s="77"/>
      <c r="E13" s="77"/>
      <c r="F13" s="77"/>
      <c r="G13" s="77"/>
      <c r="H13" s="77"/>
      <c r="I13" s="77"/>
      <c r="J13" s="77"/>
      <c r="K13" s="77"/>
      <c r="L13" s="77"/>
      <c r="M13" s="77"/>
      <c r="N13"/>
      <c r="O13"/>
      <c r="P13"/>
      <c r="Q13"/>
      <c r="R13"/>
      <c r="S13"/>
      <c r="T13"/>
      <c r="U13"/>
      <c r="V13"/>
    </row>
    <row r="14" spans="1:22" s="82" customFormat="1" x14ac:dyDescent="0.25">
      <c r="A14" s="77"/>
      <c r="B14" s="77"/>
      <c r="C14" s="77"/>
      <c r="D14" s="77"/>
      <c r="E14" s="77"/>
      <c r="F14" s="77"/>
      <c r="G14" s="77"/>
      <c r="H14" s="77"/>
      <c r="I14" s="77"/>
      <c r="J14" s="77"/>
      <c r="K14" s="77"/>
      <c r="L14" s="77"/>
      <c r="M14" s="77"/>
      <c r="N14"/>
      <c r="O14"/>
      <c r="P14"/>
      <c r="Q14"/>
      <c r="R14"/>
      <c r="S14"/>
      <c r="T14"/>
      <c r="U14"/>
      <c r="V14"/>
    </row>
    <row r="15" spans="1:22" s="82" customFormat="1" x14ac:dyDescent="0.25">
      <c r="A15" s="77"/>
      <c r="B15" s="77"/>
      <c r="C15" s="77"/>
      <c r="D15" s="77"/>
      <c r="E15" s="77"/>
      <c r="F15" s="77"/>
      <c r="G15" s="77"/>
      <c r="H15" s="77"/>
      <c r="I15" s="77"/>
      <c r="J15" s="77"/>
      <c r="K15" s="77"/>
      <c r="L15" s="77"/>
      <c r="M15" s="77"/>
      <c r="N15"/>
      <c r="O15"/>
      <c r="P15"/>
      <c r="Q15"/>
      <c r="R15"/>
      <c r="S15"/>
      <c r="T15"/>
      <c r="U15"/>
      <c r="V15"/>
    </row>
    <row r="16" spans="1:22" s="82" customFormat="1" x14ac:dyDescent="0.25">
      <c r="A16" s="77"/>
      <c r="B16" s="77"/>
      <c r="C16" s="77"/>
      <c r="D16" s="77"/>
      <c r="E16" s="77"/>
      <c r="F16" s="77"/>
      <c r="G16" s="77"/>
      <c r="H16" s="77"/>
      <c r="I16" s="77"/>
      <c r="J16" s="77"/>
      <c r="K16" s="77"/>
      <c r="L16" s="77"/>
      <c r="M16" s="77"/>
      <c r="N16"/>
      <c r="O16"/>
      <c r="P16"/>
      <c r="Q16"/>
      <c r="R16"/>
      <c r="S16"/>
      <c r="T16"/>
      <c r="U16"/>
      <c r="V16"/>
    </row>
  </sheetData>
  <printOptions gridLines="1"/>
  <pageMargins left="0.70866141732283472" right="0.70866141732283472" top="0.74803149606299213" bottom="0.7480314960629921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B82E1-61F1-42C0-AB40-D4699D69E2A5}">
  <sheetPr>
    <pageSetUpPr fitToPage="1"/>
  </sheetPr>
  <dimension ref="A1:U18"/>
  <sheetViews>
    <sheetView view="pageBreakPreview" zoomScale="60" zoomScaleNormal="90" workbookViewId="0">
      <selection activeCell="Q27" sqref="Q27"/>
    </sheetView>
  </sheetViews>
  <sheetFormatPr defaultColWidth="8.7109375" defaultRowHeight="15" x14ac:dyDescent="0.25"/>
  <cols>
    <col min="1" max="1" width="7.7109375" style="2" customWidth="1"/>
    <col min="2" max="2" width="8.42578125" style="2" customWidth="1"/>
    <col min="3" max="3" width="6.28515625" style="2" customWidth="1"/>
    <col min="4" max="4" width="20.42578125" style="2" customWidth="1"/>
    <col min="5" max="5" width="12.42578125" style="2" customWidth="1"/>
    <col min="6" max="6" width="7.85546875" style="107" customWidth="1"/>
    <col min="7" max="8" width="8.7109375" style="107"/>
    <col min="9" max="9" width="8.85546875" style="107" customWidth="1"/>
    <col min="10" max="10" width="24.42578125" style="2" customWidth="1"/>
    <col min="11" max="11" width="27.28515625" style="2" customWidth="1"/>
    <col min="22" max="16384" width="8.7109375" style="2"/>
  </cols>
  <sheetData>
    <row r="1" spans="1:21" x14ac:dyDescent="0.25">
      <c r="A1" s="65" t="s">
        <v>0</v>
      </c>
      <c r="B1" s="65"/>
      <c r="C1" s="66"/>
    </row>
    <row r="2" spans="1:21" x14ac:dyDescent="0.25">
      <c r="A2" s="65" t="s">
        <v>175</v>
      </c>
      <c r="B2" s="65"/>
      <c r="C2" s="66"/>
    </row>
    <row r="3" spans="1:21" x14ac:dyDescent="0.25">
      <c r="A3" s="65" t="s">
        <v>1177</v>
      </c>
      <c r="B3" s="65"/>
      <c r="C3" s="66"/>
    </row>
    <row r="4" spans="1:21" ht="22.5" x14ac:dyDescent="0.25">
      <c r="A4" s="67" t="s">
        <v>1</v>
      </c>
      <c r="B4" s="67" t="s">
        <v>2</v>
      </c>
      <c r="C4" s="67" t="s">
        <v>3</v>
      </c>
      <c r="D4" s="60" t="s">
        <v>4</v>
      </c>
      <c r="E4" s="60" t="s">
        <v>5</v>
      </c>
      <c r="F4" s="108" t="s">
        <v>8</v>
      </c>
      <c r="G4" s="109" t="s">
        <v>10</v>
      </c>
      <c r="H4" s="109" t="s">
        <v>11</v>
      </c>
      <c r="I4" s="108" t="s">
        <v>54</v>
      </c>
      <c r="J4" s="61" t="s">
        <v>13</v>
      </c>
      <c r="K4" s="60" t="s">
        <v>14</v>
      </c>
    </row>
    <row r="5" spans="1:21" ht="22.5" x14ac:dyDescent="0.25">
      <c r="A5" s="68" t="s">
        <v>176</v>
      </c>
      <c r="B5" s="69">
        <v>4.0999999999999996</v>
      </c>
      <c r="C5" s="68" t="s">
        <v>163</v>
      </c>
      <c r="D5" s="2" t="s">
        <v>177</v>
      </c>
      <c r="E5" s="68" t="s">
        <v>177</v>
      </c>
      <c r="F5" s="170">
        <v>81.018352510523968</v>
      </c>
      <c r="G5" s="167">
        <v>1</v>
      </c>
      <c r="H5" s="171">
        <v>1</v>
      </c>
      <c r="I5" s="166">
        <f>F5*G5/H5</f>
        <v>81.018352510523968</v>
      </c>
      <c r="J5" s="2" t="s">
        <v>192</v>
      </c>
      <c r="K5" s="2" t="s">
        <v>193</v>
      </c>
    </row>
    <row r="6" spans="1:21" s="73" customFormat="1" ht="101.45" customHeight="1" x14ac:dyDescent="0.25">
      <c r="A6" s="70" t="s">
        <v>178</v>
      </c>
      <c r="B6" s="71">
        <v>4.3</v>
      </c>
      <c r="C6" s="68" t="s">
        <v>163</v>
      </c>
      <c r="D6" s="72" t="s">
        <v>179</v>
      </c>
      <c r="E6" s="73" t="s">
        <v>179</v>
      </c>
      <c r="F6" s="165">
        <f>6.19*1.2021*(365/7)</f>
        <v>387.99494785714285</v>
      </c>
      <c r="G6" s="168">
        <v>1</v>
      </c>
      <c r="H6" s="172">
        <f>365/7</f>
        <v>52.142857142857146</v>
      </c>
      <c r="I6" s="166">
        <f>G6*F6/H6</f>
        <v>7.4409989999999997</v>
      </c>
      <c r="J6" s="72"/>
      <c r="K6" s="72" t="s">
        <v>196</v>
      </c>
      <c r="L6"/>
      <c r="M6"/>
      <c r="N6"/>
      <c r="O6"/>
      <c r="P6"/>
      <c r="Q6"/>
      <c r="R6"/>
      <c r="S6"/>
      <c r="T6"/>
      <c r="U6"/>
    </row>
    <row r="7" spans="1:21" ht="22.5" customHeight="1" x14ac:dyDescent="0.25">
      <c r="A7" s="70" t="s">
        <v>180</v>
      </c>
      <c r="B7" s="71" t="s">
        <v>181</v>
      </c>
      <c r="C7" s="68" t="s">
        <v>163</v>
      </c>
      <c r="D7" s="72" t="s">
        <v>182</v>
      </c>
      <c r="E7" s="73" t="s">
        <v>182</v>
      </c>
      <c r="F7" s="165"/>
      <c r="G7" s="168">
        <v>1</v>
      </c>
      <c r="H7" s="172">
        <v>1</v>
      </c>
      <c r="I7" s="166">
        <v>16.55</v>
      </c>
      <c r="J7" s="72"/>
      <c r="K7" s="2" t="s">
        <v>1173</v>
      </c>
    </row>
    <row r="8" spans="1:21" ht="22.5" x14ac:dyDescent="0.25">
      <c r="A8" s="70" t="s">
        <v>183</v>
      </c>
      <c r="B8" s="71">
        <v>12.5</v>
      </c>
      <c r="C8" s="68" t="s">
        <v>163</v>
      </c>
      <c r="D8" s="72" t="s">
        <v>184</v>
      </c>
      <c r="E8" s="73" t="s">
        <v>185</v>
      </c>
      <c r="F8" s="165">
        <v>6.39</v>
      </c>
      <c r="G8" s="168">
        <v>1</v>
      </c>
      <c r="H8" s="172">
        <f>365/84</f>
        <v>4.3452380952380949</v>
      </c>
      <c r="I8" s="166">
        <f>G8*F8/H8</f>
        <v>1.4705753424657535</v>
      </c>
      <c r="J8" s="72" t="s">
        <v>194</v>
      </c>
      <c r="K8" s="72" t="s">
        <v>195</v>
      </c>
    </row>
    <row r="9" spans="1:21" x14ac:dyDescent="0.25">
      <c r="A9" s="70" t="s">
        <v>186</v>
      </c>
      <c r="B9" s="71">
        <v>4.5</v>
      </c>
      <c r="C9" s="68" t="s">
        <v>163</v>
      </c>
      <c r="D9" s="72" t="s">
        <v>187</v>
      </c>
      <c r="E9" s="73"/>
      <c r="F9" s="165">
        <v>1340.4386179000003</v>
      </c>
      <c r="G9" s="168">
        <v>1</v>
      </c>
      <c r="H9" s="172">
        <f>365/7</f>
        <v>52.142857142857146</v>
      </c>
      <c r="I9" s="166">
        <f>G9*F9/H9</f>
        <v>25.70704198712329</v>
      </c>
      <c r="J9" s="72"/>
      <c r="K9" s="72"/>
    </row>
    <row r="10" spans="1:21" ht="67.5" x14ac:dyDescent="0.25">
      <c r="A10" s="74" t="s">
        <v>188</v>
      </c>
      <c r="B10" s="75">
        <v>4.3</v>
      </c>
      <c r="C10" s="68" t="s">
        <v>163</v>
      </c>
      <c r="D10" s="74" t="s">
        <v>189</v>
      </c>
      <c r="E10" s="76" t="s">
        <v>190</v>
      </c>
      <c r="F10" s="166">
        <v>100</v>
      </c>
      <c r="G10" s="169">
        <v>1</v>
      </c>
      <c r="H10" s="172">
        <f>365/7</f>
        <v>52.142857142857146</v>
      </c>
      <c r="I10" s="166">
        <f>G10*F10/H10</f>
        <v>1.9178082191780821</v>
      </c>
      <c r="J10" s="72" t="s">
        <v>191</v>
      </c>
      <c r="K10" s="73"/>
    </row>
    <row r="12" spans="1:21" x14ac:dyDescent="0.25">
      <c r="A12" s="68"/>
      <c r="B12" s="69"/>
      <c r="C12" s="68"/>
      <c r="D12" s="2" t="s">
        <v>1189</v>
      </c>
      <c r="E12" s="164">
        <f>I5</f>
        <v>81.018352510523968</v>
      </c>
      <c r="G12" s="69"/>
      <c r="H12" s="110"/>
      <c r="I12" s="111"/>
    </row>
    <row r="13" spans="1:21" s="73" customFormat="1" ht="16.5" customHeight="1" x14ac:dyDescent="0.25">
      <c r="A13" s="70"/>
      <c r="B13" s="71"/>
      <c r="C13" s="68"/>
      <c r="D13" s="72" t="s">
        <v>1190</v>
      </c>
      <c r="E13" s="165">
        <v>0</v>
      </c>
      <c r="G13" s="75"/>
      <c r="H13" s="112"/>
      <c r="I13" s="111"/>
      <c r="J13" s="72"/>
      <c r="K13" s="72"/>
      <c r="L13"/>
      <c r="M13"/>
      <c r="N13"/>
      <c r="O13"/>
      <c r="P13"/>
      <c r="Q13"/>
      <c r="R13"/>
      <c r="S13"/>
      <c r="T13"/>
      <c r="U13"/>
    </row>
    <row r="14" spans="1:21" ht="15" customHeight="1" x14ac:dyDescent="0.25">
      <c r="A14" s="70"/>
      <c r="B14" s="71"/>
      <c r="C14" s="68"/>
      <c r="D14" s="72" t="s">
        <v>1191</v>
      </c>
      <c r="E14" s="165">
        <f>I6</f>
        <v>7.4409989999999997</v>
      </c>
      <c r="G14" s="75"/>
      <c r="H14" s="112"/>
      <c r="I14" s="111"/>
      <c r="J14" s="72"/>
    </row>
    <row r="15" spans="1:21" x14ac:dyDescent="0.25">
      <c r="A15" s="70"/>
      <c r="B15" s="71"/>
      <c r="C15" s="68"/>
      <c r="D15" s="72" t="s">
        <v>1192</v>
      </c>
      <c r="E15" s="165">
        <f>I7</f>
        <v>16.55</v>
      </c>
      <c r="G15" s="75"/>
      <c r="H15" s="112"/>
      <c r="I15" s="111"/>
      <c r="J15" s="72"/>
      <c r="K15" s="72"/>
    </row>
    <row r="16" spans="1:21" ht="16.5" customHeight="1" x14ac:dyDescent="0.25">
      <c r="A16" s="70"/>
      <c r="B16" s="71"/>
      <c r="C16" s="68"/>
      <c r="D16" s="72" t="s">
        <v>1194</v>
      </c>
      <c r="E16" s="165">
        <f>I8</f>
        <v>1.4705753424657535</v>
      </c>
      <c r="G16" s="75"/>
      <c r="H16" s="112"/>
      <c r="I16" s="111"/>
      <c r="J16" s="72"/>
      <c r="K16" s="72"/>
    </row>
    <row r="17" spans="1:11" x14ac:dyDescent="0.25">
      <c r="A17" s="74"/>
      <c r="B17" s="75"/>
      <c r="C17" s="68"/>
      <c r="D17" s="76" t="s">
        <v>1196</v>
      </c>
      <c r="E17" s="166">
        <f>I9</f>
        <v>25.70704198712329</v>
      </c>
      <c r="G17" s="113"/>
      <c r="H17" s="112"/>
      <c r="I17" s="111"/>
      <c r="J17" s="72"/>
      <c r="K17" s="73"/>
    </row>
    <row r="18" spans="1:11" ht="17.25" customHeight="1" x14ac:dyDescent="0.25">
      <c r="D18" s="2" t="s">
        <v>1198</v>
      </c>
      <c r="E18" s="164">
        <f>I10</f>
        <v>1.9178082191780821</v>
      </c>
    </row>
  </sheetData>
  <conditionalFormatting sqref="M188:T188">
    <cfRule type="cellIs" priority="2" operator="equal">
      <formula>0</formula>
    </cfRule>
  </conditionalFormatting>
  <conditionalFormatting sqref="M290:T291">
    <cfRule type="cellIs" dxfId="1" priority="1" operator="equal">
      <formula>0</formula>
    </cfRule>
  </conditionalFormatting>
  <printOptions gridLines="1"/>
  <pageMargins left="0.70866141732283472" right="0.70866141732283472" top="0.74803149606299213" bottom="0.74803149606299213" header="0.31496062992125984" footer="0.31496062992125984"/>
  <pageSetup paperSize="9" scale="9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9AABE-85CA-4BDA-A52A-06FF18D33B7B}">
  <dimension ref="A1:W302"/>
  <sheetViews>
    <sheetView tabSelected="1" view="pageBreakPreview" zoomScale="115" zoomScaleNormal="100" zoomScaleSheetLayoutView="115" workbookViewId="0">
      <selection activeCell="E2" sqref="E2"/>
    </sheetView>
  </sheetViews>
  <sheetFormatPr defaultRowHeight="15" x14ac:dyDescent="0.25"/>
  <cols>
    <col min="1" max="1" width="6" customWidth="1"/>
    <col min="2" max="2" width="7.28515625" customWidth="1"/>
    <col min="3" max="3" width="6.28515625" customWidth="1"/>
    <col min="4" max="4" width="9.5703125" customWidth="1"/>
    <col min="5" max="5" width="15.140625" customWidth="1"/>
    <col min="7" max="8" width="6.7109375" style="117" customWidth="1"/>
    <col min="9" max="9" width="7.7109375" style="117" customWidth="1"/>
    <col min="10" max="10" width="8.28515625" style="117" customWidth="1"/>
    <col min="11" max="11" width="7.140625" style="117" customWidth="1"/>
    <col min="12" max="12" width="32.85546875" customWidth="1"/>
    <col min="13" max="13" width="31.140625" style="117" customWidth="1"/>
    <col min="14" max="14" width="19.42578125" customWidth="1"/>
  </cols>
  <sheetData>
    <row r="1" spans="1:23" s="7" customFormat="1" x14ac:dyDescent="0.25">
      <c r="A1" s="6" t="s">
        <v>0</v>
      </c>
      <c r="B1" s="26"/>
      <c r="F1" s="8"/>
      <c r="G1" s="17"/>
      <c r="H1" s="17"/>
      <c r="I1" s="17"/>
      <c r="J1" s="17"/>
      <c r="K1" s="88"/>
      <c r="M1" s="17"/>
      <c r="O1"/>
      <c r="P1"/>
      <c r="Q1"/>
      <c r="R1"/>
      <c r="S1"/>
      <c r="T1"/>
      <c r="U1"/>
      <c r="V1"/>
      <c r="W1"/>
    </row>
    <row r="2" spans="1:23" s="10" customFormat="1" x14ac:dyDescent="0.25">
      <c r="A2" s="9" t="s">
        <v>197</v>
      </c>
      <c r="B2" s="21"/>
      <c r="C2" s="9"/>
      <c r="G2" s="21"/>
      <c r="H2" s="12"/>
      <c r="I2" s="12"/>
      <c r="J2" s="12"/>
      <c r="K2" s="13"/>
      <c r="M2" s="12"/>
      <c r="O2"/>
      <c r="P2"/>
      <c r="Q2"/>
      <c r="R2"/>
      <c r="S2"/>
      <c r="T2"/>
      <c r="U2"/>
      <c r="V2"/>
      <c r="W2"/>
    </row>
    <row r="3" spans="1:23" s="18" customFormat="1" x14ac:dyDescent="0.25">
      <c r="A3" s="9" t="s">
        <v>1177</v>
      </c>
      <c r="B3" s="21"/>
      <c r="G3" s="15"/>
      <c r="H3" s="15"/>
      <c r="I3" s="15"/>
      <c r="J3" s="15"/>
      <c r="K3" s="16"/>
      <c r="M3" s="15"/>
      <c r="O3"/>
      <c r="P3"/>
      <c r="Q3"/>
      <c r="R3"/>
      <c r="S3"/>
      <c r="T3"/>
      <c r="U3"/>
      <c r="V3"/>
      <c r="W3"/>
    </row>
    <row r="4" spans="1:23" s="15" customFormat="1" ht="22.5" x14ac:dyDescent="0.25">
      <c r="A4" s="11" t="s">
        <v>1</v>
      </c>
      <c r="B4" s="11" t="s">
        <v>2</v>
      </c>
      <c r="C4" s="11" t="s">
        <v>3</v>
      </c>
      <c r="D4" s="12" t="s">
        <v>4</v>
      </c>
      <c r="E4" s="12" t="s">
        <v>5</v>
      </c>
      <c r="F4" s="12" t="s">
        <v>7</v>
      </c>
      <c r="G4" s="13" t="s">
        <v>8</v>
      </c>
      <c r="H4" s="13" t="s">
        <v>9</v>
      </c>
      <c r="I4" s="12" t="s">
        <v>10</v>
      </c>
      <c r="J4" s="12" t="s">
        <v>11</v>
      </c>
      <c r="K4" s="13" t="s">
        <v>54</v>
      </c>
      <c r="L4" s="13" t="s">
        <v>13</v>
      </c>
      <c r="M4" s="12" t="s">
        <v>14</v>
      </c>
      <c r="N4" s="98"/>
      <c r="O4"/>
      <c r="P4"/>
      <c r="Q4"/>
      <c r="R4"/>
      <c r="S4"/>
      <c r="T4"/>
      <c r="U4"/>
      <c r="V4"/>
      <c r="W4"/>
    </row>
    <row r="5" spans="1:23" ht="22.5" x14ac:dyDescent="0.25">
      <c r="A5" s="14" t="s">
        <v>198</v>
      </c>
      <c r="B5" s="14">
        <v>4.3</v>
      </c>
      <c r="C5" s="17" t="s">
        <v>163</v>
      </c>
      <c r="D5" s="24" t="s">
        <v>321</v>
      </c>
      <c r="E5" s="24" t="s">
        <v>322</v>
      </c>
      <c r="F5" s="24" t="s">
        <v>216</v>
      </c>
      <c r="G5" s="125">
        <v>5.12</v>
      </c>
      <c r="H5" s="125"/>
      <c r="I5" s="126">
        <v>1</v>
      </c>
      <c r="J5" s="124">
        <f>365/7*20</f>
        <v>1042.8571428571429</v>
      </c>
      <c r="K5" s="132">
        <f>G5*I5/J5</f>
        <v>4.9095890410958904E-3</v>
      </c>
      <c r="L5" s="25" t="s">
        <v>323</v>
      </c>
      <c r="M5" s="14" t="s">
        <v>324</v>
      </c>
      <c r="N5" s="47"/>
    </row>
    <row r="6" spans="1:23" ht="22.5" x14ac:dyDescent="0.25">
      <c r="A6" s="14" t="s">
        <v>198</v>
      </c>
      <c r="B6" s="14">
        <v>4.3</v>
      </c>
      <c r="C6" s="17" t="s">
        <v>163</v>
      </c>
      <c r="D6" s="24" t="s">
        <v>321</v>
      </c>
      <c r="E6" s="24" t="s">
        <v>325</v>
      </c>
      <c r="F6" s="24" t="s">
        <v>216</v>
      </c>
      <c r="G6" s="125">
        <v>5.98</v>
      </c>
      <c r="H6" s="125"/>
      <c r="I6" s="126">
        <v>1</v>
      </c>
      <c r="J6" s="124">
        <f>365/7*20</f>
        <v>1042.8571428571429</v>
      </c>
      <c r="K6" s="132">
        <f t="shared" ref="K6:K74" si="0">G6*I6/J6</f>
        <v>5.7342465753424656E-3</v>
      </c>
      <c r="L6" s="25" t="s">
        <v>326</v>
      </c>
      <c r="M6" s="15" t="s">
        <v>327</v>
      </c>
      <c r="N6" s="40"/>
    </row>
    <row r="7" spans="1:23" ht="33.75" x14ac:dyDescent="0.25">
      <c r="A7" s="17" t="s">
        <v>198</v>
      </c>
      <c r="B7" s="17">
        <v>5.2</v>
      </c>
      <c r="C7" s="17" t="s">
        <v>163</v>
      </c>
      <c r="D7" s="14" t="s">
        <v>199</v>
      </c>
      <c r="E7" s="14" t="s">
        <v>202</v>
      </c>
      <c r="F7" s="14" t="s">
        <v>203</v>
      </c>
      <c r="G7" s="132">
        <v>5.5</v>
      </c>
      <c r="H7" s="133"/>
      <c r="I7" s="175">
        <v>1</v>
      </c>
      <c r="J7" s="134">
        <f>365/7*5</f>
        <v>260.71428571428572</v>
      </c>
      <c r="K7" s="132">
        <f t="shared" si="0"/>
        <v>2.1095890410958905E-2</v>
      </c>
      <c r="L7" s="14" t="s">
        <v>328</v>
      </c>
      <c r="M7" s="14" t="s">
        <v>204</v>
      </c>
      <c r="N7" s="40"/>
    </row>
    <row r="8" spans="1:23" ht="22.5" x14ac:dyDescent="0.25">
      <c r="A8" s="17" t="s">
        <v>198</v>
      </c>
      <c r="B8" s="17">
        <v>5.2</v>
      </c>
      <c r="C8" s="17" t="s">
        <v>163</v>
      </c>
      <c r="D8" s="14" t="s">
        <v>199</v>
      </c>
      <c r="E8" s="14" t="s">
        <v>202</v>
      </c>
      <c r="F8" s="14" t="s">
        <v>203</v>
      </c>
      <c r="G8" s="132">
        <v>5.5</v>
      </c>
      <c r="H8" s="133"/>
      <c r="I8" s="175">
        <v>1</v>
      </c>
      <c r="J8" s="134">
        <f>365/7*5</f>
        <v>260.71428571428572</v>
      </c>
      <c r="K8" s="132">
        <f t="shared" si="0"/>
        <v>2.1095890410958905E-2</v>
      </c>
      <c r="L8" s="14" t="s">
        <v>329</v>
      </c>
      <c r="M8" s="14" t="s">
        <v>204</v>
      </c>
      <c r="N8" s="20"/>
    </row>
    <row r="9" spans="1:23" ht="67.5" x14ac:dyDescent="0.25">
      <c r="A9" s="17" t="s">
        <v>198</v>
      </c>
      <c r="B9" s="17">
        <v>5.0999999999999996</v>
      </c>
      <c r="C9" s="17" t="s">
        <v>163</v>
      </c>
      <c r="D9" s="14" t="s">
        <v>199</v>
      </c>
      <c r="E9" s="14" t="s">
        <v>200</v>
      </c>
      <c r="F9" s="14" t="s">
        <v>209</v>
      </c>
      <c r="G9" s="132">
        <v>25</v>
      </c>
      <c r="H9" s="133">
        <v>1</v>
      </c>
      <c r="I9" s="175">
        <v>1</v>
      </c>
      <c r="J9" s="134">
        <f>365/7*10</f>
        <v>521.42857142857144</v>
      </c>
      <c r="K9" s="132">
        <f t="shared" si="0"/>
        <v>4.7945205479452052E-2</v>
      </c>
      <c r="L9" s="14" t="s">
        <v>586</v>
      </c>
      <c r="M9" s="24" t="s">
        <v>330</v>
      </c>
      <c r="N9" s="18"/>
    </row>
    <row r="10" spans="1:23" ht="22.5" x14ac:dyDescent="0.25">
      <c r="A10" s="17" t="s">
        <v>198</v>
      </c>
      <c r="B10" s="17">
        <v>5.5</v>
      </c>
      <c r="C10" s="17" t="s">
        <v>163</v>
      </c>
      <c r="D10" s="14" t="s">
        <v>199</v>
      </c>
      <c r="E10" s="14" t="s">
        <v>201</v>
      </c>
      <c r="F10" s="14" t="s">
        <v>28</v>
      </c>
      <c r="G10" s="132">
        <v>4.25</v>
      </c>
      <c r="H10" s="133">
        <v>1</v>
      </c>
      <c r="I10" s="175">
        <v>1</v>
      </c>
      <c r="J10" s="134">
        <f>365/7*2</f>
        <v>104.28571428571429</v>
      </c>
      <c r="K10" s="132">
        <f t="shared" si="0"/>
        <v>4.0753424657534246E-2</v>
      </c>
      <c r="L10" s="14" t="s">
        <v>331</v>
      </c>
      <c r="M10" s="14" t="s">
        <v>332</v>
      </c>
      <c r="N10" s="14"/>
    </row>
    <row r="11" spans="1:23" ht="22.5" x14ac:dyDescent="0.25">
      <c r="A11" s="17" t="s">
        <v>198</v>
      </c>
      <c r="B11" s="17">
        <v>5.5</v>
      </c>
      <c r="C11" s="17" t="s">
        <v>163</v>
      </c>
      <c r="D11" s="14" t="s">
        <v>199</v>
      </c>
      <c r="E11" s="14" t="s">
        <v>333</v>
      </c>
      <c r="F11" s="14" t="s">
        <v>28</v>
      </c>
      <c r="G11" s="132">
        <v>4.4000000000000004</v>
      </c>
      <c r="H11" s="133">
        <v>4</v>
      </c>
      <c r="I11" s="175">
        <v>1</v>
      </c>
      <c r="J11" s="134">
        <f>365/7*20</f>
        <v>1042.8571428571429</v>
      </c>
      <c r="K11" s="132">
        <f t="shared" si="0"/>
        <v>4.2191780821917808E-3</v>
      </c>
      <c r="L11" s="14" t="s">
        <v>334</v>
      </c>
      <c r="M11" s="14" t="s">
        <v>335</v>
      </c>
      <c r="N11" s="18"/>
    </row>
    <row r="12" spans="1:23" ht="33.75" x14ac:dyDescent="0.25">
      <c r="A12" s="17" t="s">
        <v>198</v>
      </c>
      <c r="B12" s="17">
        <v>5.0999999999999996</v>
      </c>
      <c r="C12" s="17" t="s">
        <v>163</v>
      </c>
      <c r="D12" s="14" t="s">
        <v>199</v>
      </c>
      <c r="E12" s="14" t="s">
        <v>336</v>
      </c>
      <c r="F12" s="14" t="s">
        <v>203</v>
      </c>
      <c r="G12" s="132">
        <v>26</v>
      </c>
      <c r="H12" s="133">
        <v>1</v>
      </c>
      <c r="I12" s="175">
        <v>1</v>
      </c>
      <c r="J12" s="134">
        <v>1042.8571428571429</v>
      </c>
      <c r="K12" s="132">
        <v>2.4931506849315069E-2</v>
      </c>
      <c r="L12" s="14" t="s">
        <v>337</v>
      </c>
      <c r="M12" s="31" t="s">
        <v>338</v>
      </c>
      <c r="N12" s="20"/>
    </row>
    <row r="13" spans="1:23" ht="67.5" x14ac:dyDescent="0.25">
      <c r="A13" s="17" t="s">
        <v>198</v>
      </c>
      <c r="B13" s="17">
        <v>5.0999999999999996</v>
      </c>
      <c r="C13" s="17" t="s">
        <v>163</v>
      </c>
      <c r="D13" s="14" t="s">
        <v>206</v>
      </c>
      <c r="E13" s="14" t="s">
        <v>200</v>
      </c>
      <c r="F13" s="14" t="s">
        <v>209</v>
      </c>
      <c r="G13" s="132">
        <v>25</v>
      </c>
      <c r="H13" s="133">
        <v>1</v>
      </c>
      <c r="I13" s="175">
        <v>1</v>
      </c>
      <c r="J13" s="134">
        <f>365/7*10</f>
        <v>521.42857142857144</v>
      </c>
      <c r="K13" s="132">
        <f>G13*I13/J13</f>
        <v>4.7945205479452052E-2</v>
      </c>
      <c r="L13" s="14" t="s">
        <v>586</v>
      </c>
      <c r="M13" s="24" t="s">
        <v>330</v>
      </c>
      <c r="N13" s="18"/>
    </row>
    <row r="14" spans="1:23" ht="22.5" x14ac:dyDescent="0.25">
      <c r="A14" s="17" t="s">
        <v>198</v>
      </c>
      <c r="B14" s="17">
        <v>5.5</v>
      </c>
      <c r="C14" s="17" t="s">
        <v>163</v>
      </c>
      <c r="D14" s="14" t="s">
        <v>206</v>
      </c>
      <c r="E14" s="14" t="s">
        <v>201</v>
      </c>
      <c r="F14" s="14" t="s">
        <v>28</v>
      </c>
      <c r="G14" s="132">
        <v>4.25</v>
      </c>
      <c r="H14" s="133">
        <v>1</v>
      </c>
      <c r="I14" s="175">
        <v>1</v>
      </c>
      <c r="J14" s="134">
        <f>365/7*2</f>
        <v>104.28571428571429</v>
      </c>
      <c r="K14" s="132">
        <f>G14*I14/J14</f>
        <v>4.0753424657534246E-2</v>
      </c>
      <c r="L14" s="14" t="s">
        <v>331</v>
      </c>
      <c r="M14" s="45" t="s">
        <v>332</v>
      </c>
      <c r="N14" s="14"/>
    </row>
    <row r="15" spans="1:23" ht="67.5" x14ac:dyDescent="0.25">
      <c r="A15" s="18" t="s">
        <v>198</v>
      </c>
      <c r="B15" s="15">
        <v>5.2</v>
      </c>
      <c r="C15" s="17" t="s">
        <v>163</v>
      </c>
      <c r="D15" s="14" t="s">
        <v>206</v>
      </c>
      <c r="E15" s="14" t="s">
        <v>207</v>
      </c>
      <c r="F15" s="17" t="s">
        <v>28</v>
      </c>
      <c r="G15" s="132">
        <v>65</v>
      </c>
      <c r="H15" s="133">
        <v>2</v>
      </c>
      <c r="I15" s="133">
        <v>1</v>
      </c>
      <c r="J15" s="134">
        <f>365/7*10</f>
        <v>521.42857142857144</v>
      </c>
      <c r="K15" s="132">
        <f>G15*I15/J15</f>
        <v>0.12465753424657534</v>
      </c>
      <c r="L15" s="14" t="s">
        <v>339</v>
      </c>
      <c r="M15" s="14" t="s">
        <v>340</v>
      </c>
      <c r="N15" s="14"/>
    </row>
    <row r="16" spans="1:23" s="15" customFormat="1" ht="22.5" x14ac:dyDescent="0.25">
      <c r="A16" s="11" t="s">
        <v>1</v>
      </c>
      <c r="B16" s="11" t="s">
        <v>2</v>
      </c>
      <c r="C16" s="11" t="s">
        <v>3</v>
      </c>
      <c r="D16" s="12" t="s">
        <v>4</v>
      </c>
      <c r="E16" s="12" t="s">
        <v>5</v>
      </c>
      <c r="F16" s="12" t="s">
        <v>7</v>
      </c>
      <c r="G16" s="13" t="s">
        <v>8</v>
      </c>
      <c r="H16" s="13" t="s">
        <v>9</v>
      </c>
      <c r="I16" s="12" t="s">
        <v>10</v>
      </c>
      <c r="J16" s="12" t="s">
        <v>11</v>
      </c>
      <c r="K16" s="13" t="s">
        <v>54</v>
      </c>
      <c r="L16" s="13" t="s">
        <v>13</v>
      </c>
      <c r="M16" s="12" t="s">
        <v>14</v>
      </c>
      <c r="N16" s="98"/>
      <c r="O16" s="139"/>
      <c r="P16" s="139"/>
      <c r="Q16" s="139"/>
      <c r="R16" s="139"/>
      <c r="S16" s="139"/>
      <c r="T16" s="139"/>
      <c r="U16" s="139"/>
      <c r="V16" s="139"/>
      <c r="W16" s="139"/>
    </row>
    <row r="17" spans="1:23" ht="33.75" x14ac:dyDescent="0.25">
      <c r="A17" s="17" t="s">
        <v>198</v>
      </c>
      <c r="B17" s="17">
        <v>5.5</v>
      </c>
      <c r="C17" s="17" t="s">
        <v>163</v>
      </c>
      <c r="D17" s="14" t="s">
        <v>206</v>
      </c>
      <c r="E17" s="14" t="s">
        <v>208</v>
      </c>
      <c r="F17" s="14" t="s">
        <v>28</v>
      </c>
      <c r="G17" s="132">
        <v>24</v>
      </c>
      <c r="H17" s="133">
        <v>1</v>
      </c>
      <c r="I17" s="133">
        <v>1</v>
      </c>
      <c r="J17" s="134">
        <f>365/7*20</f>
        <v>1042.8571428571429</v>
      </c>
      <c r="K17" s="132">
        <f>G17*I17/J17</f>
        <v>2.3013698630136987E-2</v>
      </c>
      <c r="L17" s="14" t="s">
        <v>341</v>
      </c>
      <c r="M17" s="45" t="s">
        <v>342</v>
      </c>
      <c r="N17" s="14"/>
    </row>
    <row r="18" spans="1:23" ht="33.75" x14ac:dyDescent="0.25">
      <c r="A18" s="18" t="s">
        <v>198</v>
      </c>
      <c r="B18" s="15">
        <v>5.2</v>
      </c>
      <c r="C18" s="17" t="s">
        <v>163</v>
      </c>
      <c r="D18" s="14" t="s">
        <v>206</v>
      </c>
      <c r="E18" s="14" t="s">
        <v>343</v>
      </c>
      <c r="F18" s="14" t="s">
        <v>28</v>
      </c>
      <c r="G18" s="132">
        <v>7</v>
      </c>
      <c r="H18" s="133">
        <v>1</v>
      </c>
      <c r="I18" s="175">
        <v>2</v>
      </c>
      <c r="J18" s="134">
        <f>365/7*7</f>
        <v>365</v>
      </c>
      <c r="K18" s="132">
        <f t="shared" si="0"/>
        <v>3.8356164383561646E-2</v>
      </c>
      <c r="L18" s="14" t="s">
        <v>344</v>
      </c>
      <c r="M18" s="14" t="s">
        <v>1167</v>
      </c>
      <c r="N18" s="14"/>
    </row>
    <row r="19" spans="1:23" ht="22.5" x14ac:dyDescent="0.25">
      <c r="A19" s="17" t="s">
        <v>198</v>
      </c>
      <c r="B19" s="17">
        <v>5.5</v>
      </c>
      <c r="C19" s="17" t="s">
        <v>163</v>
      </c>
      <c r="D19" s="14" t="s">
        <v>206</v>
      </c>
      <c r="E19" s="14" t="s">
        <v>210</v>
      </c>
      <c r="F19" s="14" t="s">
        <v>28</v>
      </c>
      <c r="G19" s="132">
        <v>1.5</v>
      </c>
      <c r="H19" s="133">
        <v>1</v>
      </c>
      <c r="I19" s="133">
        <v>1</v>
      </c>
      <c r="J19" s="134">
        <f>365/7*7</f>
        <v>365</v>
      </c>
      <c r="K19" s="132">
        <f t="shared" si="0"/>
        <v>4.10958904109589E-3</v>
      </c>
      <c r="L19" s="14" t="s">
        <v>345</v>
      </c>
      <c r="M19" s="14" t="s">
        <v>211</v>
      </c>
      <c r="N19" s="17"/>
    </row>
    <row r="20" spans="1:23" ht="33.75" x14ac:dyDescent="0.25">
      <c r="A20" s="17" t="s">
        <v>198</v>
      </c>
      <c r="B20" s="17">
        <v>5.0999999999999996</v>
      </c>
      <c r="C20" s="17" t="s">
        <v>163</v>
      </c>
      <c r="D20" s="14" t="s">
        <v>206</v>
      </c>
      <c r="E20" s="18" t="s">
        <v>212</v>
      </c>
      <c r="F20" s="32" t="s">
        <v>320</v>
      </c>
      <c r="G20" s="125">
        <v>429</v>
      </c>
      <c r="H20" s="126">
        <v>1</v>
      </c>
      <c r="I20" s="127">
        <v>1</v>
      </c>
      <c r="J20" s="134">
        <f>365/7*10</f>
        <v>521.42857142857144</v>
      </c>
      <c r="K20" s="132">
        <f t="shared" si="0"/>
        <v>0.8227397260273972</v>
      </c>
      <c r="L20" s="20" t="s">
        <v>346</v>
      </c>
      <c r="M20" s="34" t="s">
        <v>347</v>
      </c>
      <c r="N20" s="27"/>
    </row>
    <row r="21" spans="1:23" ht="33.75" x14ac:dyDescent="0.25">
      <c r="A21" s="17" t="s">
        <v>198</v>
      </c>
      <c r="B21" s="17">
        <v>5.0999999999999996</v>
      </c>
      <c r="C21" s="17" t="s">
        <v>163</v>
      </c>
      <c r="D21" s="14" t="s">
        <v>206</v>
      </c>
      <c r="E21" s="20" t="s">
        <v>348</v>
      </c>
      <c r="F21" s="32" t="s">
        <v>320</v>
      </c>
      <c r="G21" s="125">
        <v>649</v>
      </c>
      <c r="H21" s="126">
        <v>1</v>
      </c>
      <c r="I21" s="127">
        <v>1</v>
      </c>
      <c r="J21" s="134">
        <f>365/7*10</f>
        <v>521.42857142857144</v>
      </c>
      <c r="K21" s="132">
        <f t="shared" si="0"/>
        <v>1.2446575342465753</v>
      </c>
      <c r="L21" s="20" t="s">
        <v>346</v>
      </c>
      <c r="M21" s="14" t="s">
        <v>349</v>
      </c>
      <c r="N21" s="27"/>
    </row>
    <row r="22" spans="1:23" ht="22.5" x14ac:dyDescent="0.25">
      <c r="A22" s="17" t="s">
        <v>198</v>
      </c>
      <c r="B22" s="17">
        <v>5.0999999999999996</v>
      </c>
      <c r="C22" s="17" t="s">
        <v>163</v>
      </c>
      <c r="D22" s="14" t="s">
        <v>206</v>
      </c>
      <c r="E22" s="20" t="s">
        <v>350</v>
      </c>
      <c r="F22" s="32" t="s">
        <v>320</v>
      </c>
      <c r="G22" s="125">
        <v>199</v>
      </c>
      <c r="H22" s="126">
        <v>1</v>
      </c>
      <c r="I22" s="127">
        <v>1</v>
      </c>
      <c r="J22" s="134">
        <f>365/7*15</f>
        <v>782.14285714285722</v>
      </c>
      <c r="K22" s="132">
        <f>G22*I22/J22</f>
        <v>0.25442922374429222</v>
      </c>
      <c r="L22" s="20" t="s">
        <v>351</v>
      </c>
      <c r="M22" s="11" t="s">
        <v>352</v>
      </c>
      <c r="N22" s="27"/>
    </row>
    <row r="23" spans="1:23" ht="33.75" x14ac:dyDescent="0.25">
      <c r="A23" s="17" t="s">
        <v>198</v>
      </c>
      <c r="B23" s="17">
        <v>5.2</v>
      </c>
      <c r="C23" s="17" t="s">
        <v>163</v>
      </c>
      <c r="D23" s="14" t="s">
        <v>206</v>
      </c>
      <c r="E23" s="18" t="s">
        <v>213</v>
      </c>
      <c r="F23" s="19" t="s">
        <v>209</v>
      </c>
      <c r="G23" s="129">
        <v>10</v>
      </c>
      <c r="H23" s="130">
        <v>1</v>
      </c>
      <c r="I23" s="176">
        <v>4</v>
      </c>
      <c r="J23" s="131">
        <f>365/7*2</f>
        <v>104.28571428571429</v>
      </c>
      <c r="K23" s="132">
        <f>G23*I23/J23</f>
        <v>0.38356164383561642</v>
      </c>
      <c r="L23" s="18" t="s">
        <v>587</v>
      </c>
      <c r="M23" s="38" t="s">
        <v>353</v>
      </c>
      <c r="N23" s="27"/>
    </row>
    <row r="24" spans="1:23" ht="45" x14ac:dyDescent="0.25">
      <c r="A24" s="17" t="s">
        <v>198</v>
      </c>
      <c r="B24" s="17">
        <v>5.0999999999999996</v>
      </c>
      <c r="C24" s="17" t="s">
        <v>163</v>
      </c>
      <c r="D24" s="14" t="s">
        <v>206</v>
      </c>
      <c r="E24" s="18" t="s">
        <v>354</v>
      </c>
      <c r="F24" s="19" t="s">
        <v>203</v>
      </c>
      <c r="G24" s="129">
        <v>90</v>
      </c>
      <c r="H24" s="130">
        <v>3</v>
      </c>
      <c r="I24" s="176">
        <v>1</v>
      </c>
      <c r="J24" s="131">
        <f>365/7*20</f>
        <v>1042.8571428571429</v>
      </c>
      <c r="K24" s="132">
        <f>G24*I24/J24</f>
        <v>8.6301369863013691E-2</v>
      </c>
      <c r="L24" s="18" t="s">
        <v>355</v>
      </c>
      <c r="M24" s="14" t="s">
        <v>356</v>
      </c>
      <c r="N24" s="18"/>
    </row>
    <row r="25" spans="1:23" ht="22.5" x14ac:dyDescent="0.25">
      <c r="A25" s="17" t="s">
        <v>198</v>
      </c>
      <c r="B25" s="17">
        <v>5.5</v>
      </c>
      <c r="C25" s="17" t="s">
        <v>163</v>
      </c>
      <c r="D25" s="14" t="s">
        <v>206</v>
      </c>
      <c r="E25" s="18" t="s">
        <v>357</v>
      </c>
      <c r="F25" s="19" t="s">
        <v>205</v>
      </c>
      <c r="G25" s="129">
        <v>39.99</v>
      </c>
      <c r="H25" s="130">
        <v>1</v>
      </c>
      <c r="I25" s="176">
        <v>1</v>
      </c>
      <c r="J25" s="131">
        <f>365/7*10</f>
        <v>521.42857142857144</v>
      </c>
      <c r="K25" s="132">
        <f>G25*I25/J25</f>
        <v>7.6693150684931502E-2</v>
      </c>
      <c r="L25" s="18" t="s">
        <v>358</v>
      </c>
      <c r="M25" s="14" t="s">
        <v>359</v>
      </c>
      <c r="N25" s="18"/>
    </row>
    <row r="26" spans="1:23" ht="33.75" x14ac:dyDescent="0.25">
      <c r="A26" s="17" t="s">
        <v>198</v>
      </c>
      <c r="B26" s="17">
        <v>5.0999999999999996</v>
      </c>
      <c r="C26" s="17" t="s">
        <v>163</v>
      </c>
      <c r="D26" s="14" t="s">
        <v>206</v>
      </c>
      <c r="E26" s="18" t="s">
        <v>360</v>
      </c>
      <c r="F26" s="19" t="s">
        <v>203</v>
      </c>
      <c r="G26" s="129">
        <v>65</v>
      </c>
      <c r="H26" s="130">
        <v>1</v>
      </c>
      <c r="I26" s="176">
        <v>1</v>
      </c>
      <c r="J26" s="131">
        <f>365/7*20</f>
        <v>1042.8571428571429</v>
      </c>
      <c r="K26" s="132">
        <f>G26*I26/J26</f>
        <v>6.2328767123287672E-2</v>
      </c>
      <c r="L26" s="18" t="s">
        <v>361</v>
      </c>
      <c r="M26" s="31" t="s">
        <v>362</v>
      </c>
      <c r="N26" s="18"/>
    </row>
    <row r="27" spans="1:23" ht="56.25" x14ac:dyDescent="0.25">
      <c r="A27" s="17" t="s">
        <v>198</v>
      </c>
      <c r="B27" s="17">
        <v>5.0999999999999996</v>
      </c>
      <c r="C27" s="17" t="s">
        <v>163</v>
      </c>
      <c r="D27" s="14" t="s">
        <v>206</v>
      </c>
      <c r="E27" s="18" t="s">
        <v>214</v>
      </c>
      <c r="F27" s="19" t="s">
        <v>209</v>
      </c>
      <c r="G27" s="129">
        <v>169</v>
      </c>
      <c r="H27" s="130">
        <v>1</v>
      </c>
      <c r="I27" s="176">
        <v>1</v>
      </c>
      <c r="J27" s="131">
        <f>365/7*20</f>
        <v>1042.8571428571429</v>
      </c>
      <c r="K27" s="132">
        <f t="shared" si="0"/>
        <v>0.16205479452054794</v>
      </c>
      <c r="L27" s="18" t="s">
        <v>588</v>
      </c>
      <c r="M27" s="14" t="s">
        <v>363</v>
      </c>
      <c r="N27" s="18"/>
    </row>
    <row r="28" spans="1:23" ht="22.5" x14ac:dyDescent="0.25">
      <c r="A28" s="17" t="s">
        <v>198</v>
      </c>
      <c r="B28" s="17">
        <v>5.0999999999999996</v>
      </c>
      <c r="C28" s="17" t="s">
        <v>163</v>
      </c>
      <c r="D28" s="14" t="s">
        <v>206</v>
      </c>
      <c r="E28" s="18" t="s">
        <v>217</v>
      </c>
      <c r="F28" s="19"/>
      <c r="G28" s="129">
        <v>50</v>
      </c>
      <c r="H28" s="130"/>
      <c r="I28" s="176">
        <v>1</v>
      </c>
      <c r="J28" s="131">
        <f>365/7</f>
        <v>52.142857142857146</v>
      </c>
      <c r="K28" s="132">
        <f t="shared" si="0"/>
        <v>0.95890410958904104</v>
      </c>
      <c r="L28" s="18" t="s">
        <v>589</v>
      </c>
      <c r="M28" s="15"/>
      <c r="N28" s="40"/>
    </row>
    <row r="29" spans="1:23" ht="56.25" x14ac:dyDescent="0.25">
      <c r="A29" s="17" t="s">
        <v>198</v>
      </c>
      <c r="B29" s="17">
        <v>5.0999999999999996</v>
      </c>
      <c r="C29" s="17" t="s">
        <v>163</v>
      </c>
      <c r="D29" s="14" t="s">
        <v>206</v>
      </c>
      <c r="E29" s="18" t="s">
        <v>364</v>
      </c>
      <c r="F29" s="32" t="s">
        <v>209</v>
      </c>
      <c r="G29" s="125">
        <v>10</v>
      </c>
      <c r="H29" s="126">
        <v>1</v>
      </c>
      <c r="I29" s="127">
        <v>1</v>
      </c>
      <c r="J29" s="124">
        <f>365/7*15</f>
        <v>782.14285714285722</v>
      </c>
      <c r="K29" s="132">
        <f t="shared" si="0"/>
        <v>1.278538812785388E-2</v>
      </c>
      <c r="L29" s="18" t="s">
        <v>590</v>
      </c>
      <c r="M29" s="14" t="s">
        <v>365</v>
      </c>
      <c r="N29" s="18"/>
    </row>
    <row r="30" spans="1:23" s="15" customFormat="1" ht="22.5" x14ac:dyDescent="0.25">
      <c r="A30" s="11" t="s">
        <v>1</v>
      </c>
      <c r="B30" s="11" t="s">
        <v>2</v>
      </c>
      <c r="C30" s="11" t="s">
        <v>3</v>
      </c>
      <c r="D30" s="12" t="s">
        <v>4</v>
      </c>
      <c r="E30" s="12" t="s">
        <v>5</v>
      </c>
      <c r="F30" s="12" t="s">
        <v>7</v>
      </c>
      <c r="G30" s="13" t="s">
        <v>8</v>
      </c>
      <c r="H30" s="13" t="s">
        <v>9</v>
      </c>
      <c r="I30" s="12" t="s">
        <v>10</v>
      </c>
      <c r="J30" s="12" t="s">
        <v>11</v>
      </c>
      <c r="K30" s="13" t="s">
        <v>54</v>
      </c>
      <c r="L30" s="13" t="s">
        <v>13</v>
      </c>
      <c r="M30" s="12" t="s">
        <v>14</v>
      </c>
      <c r="N30" s="98"/>
      <c r="O30" s="139"/>
      <c r="P30" s="139"/>
      <c r="Q30" s="139"/>
      <c r="R30" s="139"/>
      <c r="S30" s="139"/>
      <c r="T30" s="139"/>
      <c r="U30" s="139"/>
      <c r="V30" s="139"/>
      <c r="W30" s="139"/>
    </row>
    <row r="31" spans="1:23" ht="45" x14ac:dyDescent="0.25">
      <c r="A31" s="17" t="s">
        <v>198</v>
      </c>
      <c r="B31" s="17">
        <v>5.0999999999999996</v>
      </c>
      <c r="C31" s="17" t="s">
        <v>163</v>
      </c>
      <c r="D31" s="14" t="s">
        <v>206</v>
      </c>
      <c r="E31" s="18" t="s">
        <v>366</v>
      </c>
      <c r="F31" s="19" t="s">
        <v>216</v>
      </c>
      <c r="G31" s="129">
        <v>20</v>
      </c>
      <c r="H31" s="130">
        <v>1</v>
      </c>
      <c r="I31" s="176">
        <v>1</v>
      </c>
      <c r="J31" s="131">
        <f>365/7*15</f>
        <v>782.14285714285722</v>
      </c>
      <c r="K31" s="132">
        <f>G31*I31/J31</f>
        <v>2.557077625570776E-2</v>
      </c>
      <c r="L31" s="18" t="s">
        <v>591</v>
      </c>
      <c r="M31" s="14" t="s">
        <v>367</v>
      </c>
      <c r="N31" s="18"/>
    </row>
    <row r="32" spans="1:23" ht="67.5" x14ac:dyDescent="0.25">
      <c r="A32" s="18" t="s">
        <v>198</v>
      </c>
      <c r="B32" s="15">
        <v>5.0999999999999996</v>
      </c>
      <c r="C32" s="17" t="s">
        <v>163</v>
      </c>
      <c r="D32" s="33" t="s">
        <v>218</v>
      </c>
      <c r="E32" s="14" t="s">
        <v>200</v>
      </c>
      <c r="F32" s="14" t="s">
        <v>209</v>
      </c>
      <c r="G32" s="132">
        <v>25</v>
      </c>
      <c r="H32" s="133">
        <v>1</v>
      </c>
      <c r="I32" s="175">
        <v>1</v>
      </c>
      <c r="J32" s="134">
        <f>365/7*10</f>
        <v>521.42857142857144</v>
      </c>
      <c r="K32" s="132">
        <f t="shared" si="0"/>
        <v>4.7945205479452052E-2</v>
      </c>
      <c r="L32" s="14" t="s">
        <v>586</v>
      </c>
      <c r="M32" s="24" t="s">
        <v>330</v>
      </c>
      <c r="N32" s="18"/>
    </row>
    <row r="33" spans="1:23" ht="22.5" x14ac:dyDescent="0.25">
      <c r="A33" s="17" t="s">
        <v>198</v>
      </c>
      <c r="B33" s="17">
        <v>5.5</v>
      </c>
      <c r="C33" s="17" t="s">
        <v>163</v>
      </c>
      <c r="D33" s="33" t="s">
        <v>218</v>
      </c>
      <c r="E33" s="14" t="s">
        <v>201</v>
      </c>
      <c r="F33" s="14" t="s">
        <v>28</v>
      </c>
      <c r="G33" s="132">
        <v>4.25</v>
      </c>
      <c r="H33" s="133">
        <v>1</v>
      </c>
      <c r="I33" s="175">
        <v>1</v>
      </c>
      <c r="J33" s="134">
        <f>365/7*2</f>
        <v>104.28571428571429</v>
      </c>
      <c r="K33" s="132">
        <f t="shared" si="0"/>
        <v>4.0753424657534246E-2</v>
      </c>
      <c r="L33" s="14" t="s">
        <v>331</v>
      </c>
      <c r="M33" s="45" t="s">
        <v>332</v>
      </c>
      <c r="N33" s="14"/>
    </row>
    <row r="34" spans="1:23" ht="67.5" x14ac:dyDescent="0.25">
      <c r="A34" s="18" t="s">
        <v>198</v>
      </c>
      <c r="B34" s="15">
        <v>5.2</v>
      </c>
      <c r="C34" s="17" t="s">
        <v>163</v>
      </c>
      <c r="D34" s="33" t="s">
        <v>218</v>
      </c>
      <c r="E34" s="14" t="s">
        <v>207</v>
      </c>
      <c r="F34" s="17" t="s">
        <v>28</v>
      </c>
      <c r="G34" s="132">
        <v>65</v>
      </c>
      <c r="H34" s="133">
        <v>2</v>
      </c>
      <c r="I34" s="133">
        <v>1</v>
      </c>
      <c r="J34" s="134">
        <f>365/7*10</f>
        <v>521.42857142857144</v>
      </c>
      <c r="K34" s="132">
        <f t="shared" si="0"/>
        <v>0.12465753424657534</v>
      </c>
      <c r="L34" s="14" t="s">
        <v>339</v>
      </c>
      <c r="M34" s="14" t="s">
        <v>340</v>
      </c>
      <c r="N34" s="14"/>
    </row>
    <row r="35" spans="1:23" ht="33.75" x14ac:dyDescent="0.25">
      <c r="A35" s="17" t="s">
        <v>198</v>
      </c>
      <c r="B35" s="17">
        <v>5.5</v>
      </c>
      <c r="C35" s="17" t="s">
        <v>163</v>
      </c>
      <c r="D35" s="14" t="s">
        <v>218</v>
      </c>
      <c r="E35" s="14" t="s">
        <v>208</v>
      </c>
      <c r="F35" s="14" t="s">
        <v>28</v>
      </c>
      <c r="G35" s="132">
        <v>24</v>
      </c>
      <c r="H35" s="133">
        <v>1</v>
      </c>
      <c r="I35" s="133">
        <v>1</v>
      </c>
      <c r="J35" s="134">
        <f>365/7*20</f>
        <v>1042.8571428571429</v>
      </c>
      <c r="K35" s="132">
        <f t="shared" si="0"/>
        <v>2.3013698630136987E-2</v>
      </c>
      <c r="L35" s="14" t="s">
        <v>341</v>
      </c>
      <c r="M35" s="45" t="s">
        <v>342</v>
      </c>
      <c r="N35" s="14"/>
    </row>
    <row r="36" spans="1:23" ht="33.75" x14ac:dyDescent="0.25">
      <c r="A36" s="18" t="s">
        <v>198</v>
      </c>
      <c r="B36" s="15">
        <v>5.2</v>
      </c>
      <c r="C36" s="17" t="s">
        <v>163</v>
      </c>
      <c r="D36" s="33" t="s">
        <v>218</v>
      </c>
      <c r="E36" s="14" t="s">
        <v>343</v>
      </c>
      <c r="F36" s="14" t="s">
        <v>28</v>
      </c>
      <c r="G36" s="132">
        <v>7</v>
      </c>
      <c r="H36" s="133">
        <v>1</v>
      </c>
      <c r="I36" s="175">
        <v>2</v>
      </c>
      <c r="J36" s="134">
        <f>365/7*7</f>
        <v>365</v>
      </c>
      <c r="K36" s="132">
        <f t="shared" si="0"/>
        <v>3.8356164383561646E-2</v>
      </c>
      <c r="L36" s="14" t="s">
        <v>344</v>
      </c>
      <c r="M36" s="14" t="s">
        <v>1167</v>
      </c>
      <c r="N36" s="14"/>
    </row>
    <row r="37" spans="1:23" ht="22.5" x14ac:dyDescent="0.25">
      <c r="A37" s="17" t="s">
        <v>198</v>
      </c>
      <c r="B37" s="17">
        <v>5.5</v>
      </c>
      <c r="C37" s="17" t="s">
        <v>163</v>
      </c>
      <c r="D37" s="33" t="s">
        <v>218</v>
      </c>
      <c r="E37" s="14" t="s">
        <v>210</v>
      </c>
      <c r="F37" s="14" t="s">
        <v>28</v>
      </c>
      <c r="G37" s="132">
        <v>1.5</v>
      </c>
      <c r="H37" s="133">
        <v>1</v>
      </c>
      <c r="I37" s="133">
        <v>1</v>
      </c>
      <c r="J37" s="134">
        <f>365/7*7</f>
        <v>365</v>
      </c>
      <c r="K37" s="132">
        <f t="shared" si="0"/>
        <v>4.10958904109589E-3</v>
      </c>
      <c r="L37" s="14" t="s">
        <v>592</v>
      </c>
      <c r="M37" s="14" t="s">
        <v>211</v>
      </c>
      <c r="N37" s="17"/>
    </row>
    <row r="38" spans="1:23" ht="90" x14ac:dyDescent="0.25">
      <c r="A38" s="18" t="s">
        <v>198</v>
      </c>
      <c r="B38" s="15">
        <v>5.0999999999999996</v>
      </c>
      <c r="C38" s="17" t="s">
        <v>163</v>
      </c>
      <c r="D38" s="18" t="s">
        <v>218</v>
      </c>
      <c r="E38" s="20" t="s">
        <v>368</v>
      </c>
      <c r="F38" s="20" t="s">
        <v>203</v>
      </c>
      <c r="G38" s="125">
        <v>120</v>
      </c>
      <c r="H38" s="126">
        <v>1</v>
      </c>
      <c r="I38" s="126">
        <v>1</v>
      </c>
      <c r="J38" s="124">
        <f>365/7*20</f>
        <v>1042.8571428571429</v>
      </c>
      <c r="K38" s="132">
        <f t="shared" si="0"/>
        <v>0.11506849315068493</v>
      </c>
      <c r="L38" s="18" t="s">
        <v>593</v>
      </c>
      <c r="M38" s="24" t="s">
        <v>369</v>
      </c>
      <c r="N38" s="18"/>
    </row>
    <row r="39" spans="1:23" ht="78.75" x14ac:dyDescent="0.25">
      <c r="A39" s="18" t="s">
        <v>198</v>
      </c>
      <c r="B39" s="15">
        <v>5.0999999999999996</v>
      </c>
      <c r="C39" s="17" t="s">
        <v>163</v>
      </c>
      <c r="D39" s="18" t="s">
        <v>218</v>
      </c>
      <c r="E39" s="20" t="s">
        <v>370</v>
      </c>
      <c r="F39" s="20" t="s">
        <v>203</v>
      </c>
      <c r="G39" s="125">
        <v>80</v>
      </c>
      <c r="H39" s="126">
        <v>2</v>
      </c>
      <c r="I39" s="126">
        <v>2</v>
      </c>
      <c r="J39" s="124">
        <f>365/7*20</f>
        <v>1042.8571428571429</v>
      </c>
      <c r="K39" s="132">
        <f t="shared" si="0"/>
        <v>0.15342465753424658</v>
      </c>
      <c r="L39" s="18" t="s">
        <v>371</v>
      </c>
      <c r="M39" s="24" t="s">
        <v>372</v>
      </c>
      <c r="N39" s="27"/>
    </row>
    <row r="40" spans="1:23" ht="22.5" x14ac:dyDescent="0.25">
      <c r="A40" s="17" t="s">
        <v>198</v>
      </c>
      <c r="B40" s="17">
        <v>5.0999999999999996</v>
      </c>
      <c r="C40" s="17" t="s">
        <v>163</v>
      </c>
      <c r="D40" s="18" t="s">
        <v>218</v>
      </c>
      <c r="E40" s="18" t="s">
        <v>219</v>
      </c>
      <c r="F40" s="18" t="s">
        <v>205</v>
      </c>
      <c r="G40" s="129">
        <v>4.99</v>
      </c>
      <c r="H40" s="130">
        <v>4</v>
      </c>
      <c r="I40" s="176">
        <v>2</v>
      </c>
      <c r="J40" s="131">
        <f>365/7*5</f>
        <v>260.71428571428572</v>
      </c>
      <c r="K40" s="132">
        <f t="shared" si="0"/>
        <v>3.8279452054794522E-2</v>
      </c>
      <c r="L40" s="18" t="s">
        <v>594</v>
      </c>
      <c r="M40" s="24" t="s">
        <v>220</v>
      </c>
      <c r="N40" s="20"/>
    </row>
    <row r="41" spans="1:23" s="15" customFormat="1" ht="22.5" x14ac:dyDescent="0.25">
      <c r="A41" s="11" t="s">
        <v>1</v>
      </c>
      <c r="B41" s="11" t="s">
        <v>2</v>
      </c>
      <c r="C41" s="11" t="s">
        <v>3</v>
      </c>
      <c r="D41" s="12" t="s">
        <v>4</v>
      </c>
      <c r="E41" s="12" t="s">
        <v>5</v>
      </c>
      <c r="F41" s="12" t="s">
        <v>7</v>
      </c>
      <c r="G41" s="13" t="s">
        <v>8</v>
      </c>
      <c r="H41" s="13" t="s">
        <v>9</v>
      </c>
      <c r="I41" s="12" t="s">
        <v>10</v>
      </c>
      <c r="J41" s="12" t="s">
        <v>11</v>
      </c>
      <c r="K41" s="13" t="s">
        <v>54</v>
      </c>
      <c r="L41" s="13" t="s">
        <v>13</v>
      </c>
      <c r="M41" s="12" t="s">
        <v>14</v>
      </c>
      <c r="N41" s="98"/>
      <c r="O41" s="139"/>
      <c r="P41" s="139"/>
      <c r="Q41" s="139"/>
      <c r="R41" s="139"/>
      <c r="S41" s="139"/>
      <c r="T41" s="139"/>
      <c r="U41" s="139"/>
      <c r="V41" s="139"/>
      <c r="W41" s="139"/>
    </row>
    <row r="42" spans="1:23" ht="22.5" x14ac:dyDescent="0.25">
      <c r="A42" s="18" t="s">
        <v>198</v>
      </c>
      <c r="B42" s="15">
        <v>5.0999999999999996</v>
      </c>
      <c r="C42" s="17" t="s">
        <v>163</v>
      </c>
      <c r="D42" s="18" t="s">
        <v>218</v>
      </c>
      <c r="E42" s="18" t="s">
        <v>221</v>
      </c>
      <c r="F42" s="18" t="s">
        <v>205</v>
      </c>
      <c r="G42" s="129">
        <v>1.99</v>
      </c>
      <c r="H42" s="130">
        <v>4</v>
      </c>
      <c r="I42" s="176">
        <v>2</v>
      </c>
      <c r="J42" s="131">
        <f>365/7*5</f>
        <v>260.71428571428572</v>
      </c>
      <c r="K42" s="132">
        <f t="shared" si="0"/>
        <v>1.5265753424657533E-2</v>
      </c>
      <c r="L42" s="18" t="s">
        <v>1161</v>
      </c>
      <c r="M42" s="14" t="s">
        <v>222</v>
      </c>
      <c r="N42" s="37"/>
    </row>
    <row r="43" spans="1:23" ht="22.5" x14ac:dyDescent="0.25">
      <c r="A43" s="17" t="s">
        <v>198</v>
      </c>
      <c r="B43" s="17">
        <v>5.5</v>
      </c>
      <c r="C43" s="17" t="s">
        <v>163</v>
      </c>
      <c r="D43" s="33" t="s">
        <v>223</v>
      </c>
      <c r="E43" s="14" t="s">
        <v>201</v>
      </c>
      <c r="F43" s="14" t="s">
        <v>28</v>
      </c>
      <c r="G43" s="132">
        <v>4.25</v>
      </c>
      <c r="H43" s="133">
        <v>1</v>
      </c>
      <c r="I43" s="175">
        <v>1</v>
      </c>
      <c r="J43" s="134">
        <f>365/7*2</f>
        <v>104.28571428571429</v>
      </c>
      <c r="K43" s="132">
        <f t="shared" si="0"/>
        <v>4.0753424657534246E-2</v>
      </c>
      <c r="L43" s="14" t="s">
        <v>373</v>
      </c>
      <c r="M43" s="45" t="s">
        <v>332</v>
      </c>
      <c r="N43" s="14"/>
    </row>
    <row r="44" spans="1:23" ht="33.75" x14ac:dyDescent="0.25">
      <c r="A44" s="18" t="s">
        <v>198</v>
      </c>
      <c r="B44" s="15">
        <v>5.0999999999999996</v>
      </c>
      <c r="C44" s="17" t="s">
        <v>163</v>
      </c>
      <c r="D44" s="33" t="s">
        <v>223</v>
      </c>
      <c r="E44" s="14" t="s">
        <v>224</v>
      </c>
      <c r="F44" s="14" t="s">
        <v>203</v>
      </c>
      <c r="G44" s="132">
        <v>14</v>
      </c>
      <c r="H44" s="133">
        <v>1</v>
      </c>
      <c r="I44" s="133">
        <v>1</v>
      </c>
      <c r="J44" s="134">
        <f>365/7*5</f>
        <v>260.71428571428572</v>
      </c>
      <c r="K44" s="132">
        <f t="shared" si="0"/>
        <v>5.3698630136986301E-2</v>
      </c>
      <c r="L44" s="14" t="s">
        <v>374</v>
      </c>
      <c r="M44" s="14" t="s">
        <v>225</v>
      </c>
      <c r="N44" s="28"/>
    </row>
    <row r="45" spans="1:23" ht="56.25" x14ac:dyDescent="0.25">
      <c r="A45" s="17" t="s">
        <v>198</v>
      </c>
      <c r="B45" s="17">
        <v>5.4</v>
      </c>
      <c r="C45" s="17" t="s">
        <v>163</v>
      </c>
      <c r="D45" s="18" t="s">
        <v>226</v>
      </c>
      <c r="E45" s="18" t="s">
        <v>227</v>
      </c>
      <c r="F45" s="32" t="s">
        <v>69</v>
      </c>
      <c r="G45" s="125">
        <v>10</v>
      </c>
      <c r="H45" s="126">
        <v>12</v>
      </c>
      <c r="I45" s="127">
        <v>2</v>
      </c>
      <c r="J45" s="124">
        <f>365/7*5</f>
        <v>260.71428571428572</v>
      </c>
      <c r="K45" s="132">
        <f t="shared" si="0"/>
        <v>7.6712328767123292E-2</v>
      </c>
      <c r="L45" s="18" t="s">
        <v>595</v>
      </c>
      <c r="M45" s="14" t="s">
        <v>375</v>
      </c>
      <c r="N45" s="18"/>
    </row>
    <row r="46" spans="1:23" ht="22.5" x14ac:dyDescent="0.25">
      <c r="A46" s="17" t="s">
        <v>198</v>
      </c>
      <c r="B46" s="17">
        <v>5.4</v>
      </c>
      <c r="C46" s="17" t="s">
        <v>163</v>
      </c>
      <c r="D46" s="18" t="s">
        <v>226</v>
      </c>
      <c r="E46" s="18" t="s">
        <v>228</v>
      </c>
      <c r="F46" s="32" t="s">
        <v>69</v>
      </c>
      <c r="G46" s="125">
        <v>5</v>
      </c>
      <c r="H46" s="126">
        <v>4</v>
      </c>
      <c r="I46" s="127">
        <v>2</v>
      </c>
      <c r="J46" s="124">
        <f>365/7*5</f>
        <v>260.71428571428572</v>
      </c>
      <c r="K46" s="132">
        <f t="shared" si="0"/>
        <v>3.8356164383561646E-2</v>
      </c>
      <c r="L46" s="18" t="s">
        <v>376</v>
      </c>
      <c r="M46" s="24" t="s">
        <v>377</v>
      </c>
      <c r="N46" s="18"/>
    </row>
    <row r="47" spans="1:23" ht="90" x14ac:dyDescent="0.25">
      <c r="A47" s="17" t="s">
        <v>198</v>
      </c>
      <c r="B47" s="17">
        <v>5.4</v>
      </c>
      <c r="C47" s="17" t="s">
        <v>163</v>
      </c>
      <c r="D47" s="18" t="s">
        <v>226</v>
      </c>
      <c r="E47" s="18" t="s">
        <v>229</v>
      </c>
      <c r="F47" s="32" t="s">
        <v>69</v>
      </c>
      <c r="G47" s="125">
        <v>15</v>
      </c>
      <c r="H47" s="126">
        <v>32</v>
      </c>
      <c r="I47" s="127">
        <v>1</v>
      </c>
      <c r="J47" s="124">
        <f>20*(365/7)</f>
        <v>1042.8571428571429</v>
      </c>
      <c r="K47" s="132">
        <f t="shared" si="0"/>
        <v>1.4383561643835616E-2</v>
      </c>
      <c r="L47" s="18" t="s">
        <v>596</v>
      </c>
      <c r="M47" s="14" t="s">
        <v>378</v>
      </c>
      <c r="N47" s="18"/>
    </row>
    <row r="48" spans="1:23" ht="22.5" x14ac:dyDescent="0.25">
      <c r="A48" s="17" t="s">
        <v>198</v>
      </c>
      <c r="B48" s="17">
        <v>5.4</v>
      </c>
      <c r="C48" s="17" t="s">
        <v>163</v>
      </c>
      <c r="D48" s="18" t="s">
        <v>226</v>
      </c>
      <c r="E48" s="20" t="s">
        <v>230</v>
      </c>
      <c r="F48" s="32" t="s">
        <v>22</v>
      </c>
      <c r="G48" s="125">
        <v>2.5</v>
      </c>
      <c r="H48" s="126">
        <v>2</v>
      </c>
      <c r="I48" s="127">
        <v>1</v>
      </c>
      <c r="J48" s="124">
        <f>365/7*20</f>
        <v>1042.8571428571429</v>
      </c>
      <c r="K48" s="132">
        <f t="shared" si="0"/>
        <v>2.3972602739726029E-3</v>
      </c>
      <c r="L48" s="18" t="s">
        <v>597</v>
      </c>
      <c r="M48" s="24" t="s">
        <v>379</v>
      </c>
      <c r="N48" s="18"/>
    </row>
    <row r="49" spans="1:23" ht="56.25" x14ac:dyDescent="0.25">
      <c r="A49" s="17" t="s">
        <v>198</v>
      </c>
      <c r="B49" s="17">
        <v>5.4</v>
      </c>
      <c r="C49" s="17" t="s">
        <v>163</v>
      </c>
      <c r="D49" s="18" t="s">
        <v>226</v>
      </c>
      <c r="E49" s="20" t="s">
        <v>380</v>
      </c>
      <c r="F49" s="32" t="s">
        <v>69</v>
      </c>
      <c r="G49" s="125">
        <v>0.5</v>
      </c>
      <c r="H49" s="126">
        <v>1</v>
      </c>
      <c r="I49" s="127">
        <v>8</v>
      </c>
      <c r="J49" s="124">
        <f>365/7*2</f>
        <v>104.28571428571429</v>
      </c>
      <c r="K49" s="132">
        <f t="shared" si="0"/>
        <v>3.8356164383561639E-2</v>
      </c>
      <c r="L49" s="18" t="s">
        <v>381</v>
      </c>
      <c r="M49" s="14" t="s">
        <v>382</v>
      </c>
      <c r="N49" s="18"/>
    </row>
    <row r="50" spans="1:23" ht="56.25" x14ac:dyDescent="0.25">
      <c r="A50" s="17" t="s">
        <v>198</v>
      </c>
      <c r="B50" s="17">
        <v>5.4</v>
      </c>
      <c r="C50" s="17" t="s">
        <v>163</v>
      </c>
      <c r="D50" s="18" t="s">
        <v>226</v>
      </c>
      <c r="E50" s="20" t="s">
        <v>232</v>
      </c>
      <c r="F50" s="32" t="s">
        <v>69</v>
      </c>
      <c r="G50" s="125">
        <v>6</v>
      </c>
      <c r="H50" s="126">
        <v>4</v>
      </c>
      <c r="I50" s="127">
        <v>2</v>
      </c>
      <c r="J50" s="124">
        <f>365/7*2</f>
        <v>104.28571428571429</v>
      </c>
      <c r="K50" s="132">
        <f t="shared" si="0"/>
        <v>0.11506849315068493</v>
      </c>
      <c r="L50" s="18" t="s">
        <v>383</v>
      </c>
      <c r="M50" s="14" t="s">
        <v>384</v>
      </c>
      <c r="N50" s="18"/>
    </row>
    <row r="51" spans="1:23" ht="33.75" x14ac:dyDescent="0.25">
      <c r="A51" s="17" t="s">
        <v>198</v>
      </c>
      <c r="B51" s="17">
        <v>5.4</v>
      </c>
      <c r="C51" s="17" t="s">
        <v>163</v>
      </c>
      <c r="D51" s="20" t="s">
        <v>226</v>
      </c>
      <c r="E51" s="20" t="s">
        <v>385</v>
      </c>
      <c r="F51" s="20" t="s">
        <v>28</v>
      </c>
      <c r="G51" s="125">
        <v>4.5</v>
      </c>
      <c r="H51" s="126">
        <v>2</v>
      </c>
      <c r="I51" s="127">
        <v>1</v>
      </c>
      <c r="J51" s="134">
        <f>365/7*20</f>
        <v>1042.8571428571429</v>
      </c>
      <c r="K51" s="132">
        <f t="shared" si="0"/>
        <v>4.3150684931506844E-3</v>
      </c>
      <c r="L51" s="20" t="s">
        <v>598</v>
      </c>
      <c r="M51" s="17" t="s">
        <v>233</v>
      </c>
      <c r="N51" s="40"/>
    </row>
    <row r="52" spans="1:23" ht="22.5" x14ac:dyDescent="0.25">
      <c r="A52" s="17" t="s">
        <v>198</v>
      </c>
      <c r="B52" s="17">
        <v>5.4</v>
      </c>
      <c r="C52" s="17" t="s">
        <v>163</v>
      </c>
      <c r="D52" s="20" t="s">
        <v>226</v>
      </c>
      <c r="E52" s="20" t="s">
        <v>386</v>
      </c>
      <c r="F52" s="32" t="s">
        <v>22</v>
      </c>
      <c r="G52" s="125">
        <v>3.5</v>
      </c>
      <c r="H52" s="126">
        <v>1</v>
      </c>
      <c r="I52" s="127">
        <v>1</v>
      </c>
      <c r="J52" s="124">
        <f>365/7*20</f>
        <v>1042.8571428571429</v>
      </c>
      <c r="K52" s="132">
        <f t="shared" si="0"/>
        <v>3.3561643835616438E-3</v>
      </c>
      <c r="L52" s="20" t="s">
        <v>387</v>
      </c>
      <c r="M52" s="24" t="s">
        <v>388</v>
      </c>
      <c r="N52" s="40"/>
    </row>
    <row r="53" spans="1:23" ht="22.5" x14ac:dyDescent="0.25">
      <c r="A53" s="17" t="s">
        <v>198</v>
      </c>
      <c r="B53" s="17">
        <v>5.6</v>
      </c>
      <c r="C53" s="17" t="s">
        <v>163</v>
      </c>
      <c r="D53" s="20" t="s">
        <v>226</v>
      </c>
      <c r="E53" s="20" t="s">
        <v>389</v>
      </c>
      <c r="F53" s="32" t="s">
        <v>29</v>
      </c>
      <c r="G53" s="125">
        <v>1</v>
      </c>
      <c r="H53" s="126">
        <v>50</v>
      </c>
      <c r="I53" s="127">
        <v>2</v>
      </c>
      <c r="J53" s="124">
        <f>365/7</f>
        <v>52.142857142857146</v>
      </c>
      <c r="K53" s="132">
        <f t="shared" si="0"/>
        <v>3.8356164383561639E-2</v>
      </c>
      <c r="L53" s="20" t="s">
        <v>1162</v>
      </c>
      <c r="M53" s="14" t="s">
        <v>390</v>
      </c>
      <c r="N53" s="42"/>
    </row>
    <row r="54" spans="1:23" s="15" customFormat="1" ht="22.5" x14ac:dyDescent="0.25">
      <c r="A54" s="11" t="s">
        <v>1</v>
      </c>
      <c r="B54" s="11" t="s">
        <v>2</v>
      </c>
      <c r="C54" s="11" t="s">
        <v>3</v>
      </c>
      <c r="D54" s="12" t="s">
        <v>4</v>
      </c>
      <c r="E54" s="12" t="s">
        <v>5</v>
      </c>
      <c r="F54" s="12" t="s">
        <v>7</v>
      </c>
      <c r="G54" s="13" t="s">
        <v>8</v>
      </c>
      <c r="H54" s="13" t="s">
        <v>9</v>
      </c>
      <c r="I54" s="12" t="s">
        <v>10</v>
      </c>
      <c r="J54" s="12" t="s">
        <v>11</v>
      </c>
      <c r="K54" s="13" t="s">
        <v>54</v>
      </c>
      <c r="L54" s="13" t="s">
        <v>13</v>
      </c>
      <c r="M54" s="12" t="s">
        <v>14</v>
      </c>
      <c r="N54" s="98"/>
      <c r="O54" s="139"/>
      <c r="P54" s="139"/>
      <c r="Q54" s="139"/>
      <c r="R54" s="139"/>
      <c r="S54" s="139"/>
      <c r="T54" s="139"/>
      <c r="U54" s="139"/>
      <c r="V54" s="139"/>
      <c r="W54" s="139"/>
    </row>
    <row r="55" spans="1:23" ht="67.5" x14ac:dyDescent="0.25">
      <c r="A55" s="17" t="s">
        <v>198</v>
      </c>
      <c r="B55" s="17">
        <v>5.3</v>
      </c>
      <c r="C55" s="17" t="s">
        <v>163</v>
      </c>
      <c r="D55" s="18" t="s">
        <v>234</v>
      </c>
      <c r="E55" s="20" t="s">
        <v>235</v>
      </c>
      <c r="F55" s="32" t="s">
        <v>69</v>
      </c>
      <c r="G55" s="125">
        <v>49</v>
      </c>
      <c r="H55" s="127">
        <v>1</v>
      </c>
      <c r="I55" s="133">
        <v>1</v>
      </c>
      <c r="J55" s="124">
        <f>365/7*8</f>
        <v>417.14285714285717</v>
      </c>
      <c r="K55" s="132">
        <f t="shared" si="0"/>
        <v>0.11746575342465752</v>
      </c>
      <c r="L55" s="18" t="s">
        <v>391</v>
      </c>
      <c r="M55" s="14" t="s">
        <v>392</v>
      </c>
      <c r="N55" s="20"/>
    </row>
    <row r="56" spans="1:23" ht="33.75" x14ac:dyDescent="0.25">
      <c r="A56" s="17" t="s">
        <v>198</v>
      </c>
      <c r="B56" s="17">
        <v>5.3</v>
      </c>
      <c r="C56" s="17" t="s">
        <v>163</v>
      </c>
      <c r="D56" s="18" t="s">
        <v>234</v>
      </c>
      <c r="E56" s="18" t="s">
        <v>236</v>
      </c>
      <c r="F56" s="19" t="s">
        <v>393</v>
      </c>
      <c r="G56" s="125">
        <v>359</v>
      </c>
      <c r="H56" s="130">
        <v>1</v>
      </c>
      <c r="I56" s="131">
        <v>1</v>
      </c>
      <c r="J56" s="131">
        <f>365/7*10</f>
        <v>521.42857142857144</v>
      </c>
      <c r="K56" s="132">
        <f t="shared" si="0"/>
        <v>0.68849315068493144</v>
      </c>
      <c r="L56" s="18" t="s">
        <v>394</v>
      </c>
      <c r="M56" s="14" t="s">
        <v>395</v>
      </c>
      <c r="N56" s="18"/>
    </row>
    <row r="57" spans="1:23" ht="90" x14ac:dyDescent="0.25">
      <c r="A57" s="17" t="s">
        <v>198</v>
      </c>
      <c r="B57" s="17">
        <v>5.3</v>
      </c>
      <c r="C57" s="17" t="s">
        <v>163</v>
      </c>
      <c r="D57" s="18" t="s">
        <v>234</v>
      </c>
      <c r="E57" s="15" t="s">
        <v>237</v>
      </c>
      <c r="F57" s="19" t="s">
        <v>393</v>
      </c>
      <c r="G57" s="125">
        <v>199</v>
      </c>
      <c r="H57" s="130">
        <v>1</v>
      </c>
      <c r="I57" s="131">
        <v>1</v>
      </c>
      <c r="J57" s="131">
        <f>365/7*10</f>
        <v>521.42857142857144</v>
      </c>
      <c r="K57" s="132">
        <f t="shared" si="0"/>
        <v>0.38164383561643833</v>
      </c>
      <c r="L57" s="15" t="s">
        <v>396</v>
      </c>
      <c r="M57" s="14" t="s">
        <v>397</v>
      </c>
      <c r="N57" s="15"/>
    </row>
    <row r="58" spans="1:23" ht="56.25" x14ac:dyDescent="0.25">
      <c r="A58" s="17" t="s">
        <v>198</v>
      </c>
      <c r="B58" s="17">
        <v>5.3</v>
      </c>
      <c r="C58" s="17" t="s">
        <v>163</v>
      </c>
      <c r="D58" s="18" t="s">
        <v>234</v>
      </c>
      <c r="E58" s="18" t="s">
        <v>238</v>
      </c>
      <c r="F58" s="19" t="s">
        <v>398</v>
      </c>
      <c r="G58" s="125">
        <v>229</v>
      </c>
      <c r="H58" s="130">
        <v>1</v>
      </c>
      <c r="I58" s="131">
        <v>1</v>
      </c>
      <c r="J58" s="131">
        <f>365/7*8</f>
        <v>417.14285714285717</v>
      </c>
      <c r="K58" s="132">
        <f t="shared" si="0"/>
        <v>0.54897260273972603</v>
      </c>
      <c r="L58" s="18" t="s">
        <v>399</v>
      </c>
      <c r="M58" s="14" t="s">
        <v>400</v>
      </c>
      <c r="N58" s="18"/>
    </row>
    <row r="59" spans="1:23" ht="45" x14ac:dyDescent="0.25">
      <c r="A59" s="17" t="s">
        <v>198</v>
      </c>
      <c r="B59" s="17">
        <v>5.3</v>
      </c>
      <c r="C59" s="17" t="s">
        <v>163</v>
      </c>
      <c r="D59" s="18" t="s">
        <v>234</v>
      </c>
      <c r="E59" s="18" t="s">
        <v>239</v>
      </c>
      <c r="F59" s="19" t="s">
        <v>69</v>
      </c>
      <c r="G59" s="129">
        <v>19</v>
      </c>
      <c r="H59" s="130">
        <v>1</v>
      </c>
      <c r="I59" s="131">
        <v>1</v>
      </c>
      <c r="J59" s="131">
        <f>365/7*6</f>
        <v>312.85714285714289</v>
      </c>
      <c r="K59" s="132">
        <f t="shared" si="0"/>
        <v>6.0730593607305927E-2</v>
      </c>
      <c r="L59" s="18" t="s">
        <v>401</v>
      </c>
      <c r="M59" s="14" t="s">
        <v>402</v>
      </c>
      <c r="N59" s="27"/>
    </row>
    <row r="60" spans="1:23" ht="45" x14ac:dyDescent="0.25">
      <c r="A60" s="17" t="s">
        <v>198</v>
      </c>
      <c r="B60" s="17">
        <v>5.3</v>
      </c>
      <c r="C60" s="17" t="s">
        <v>163</v>
      </c>
      <c r="D60" s="18" t="s">
        <v>234</v>
      </c>
      <c r="E60" s="18" t="s">
        <v>240</v>
      </c>
      <c r="F60" s="19" t="s">
        <v>69</v>
      </c>
      <c r="G60" s="129">
        <v>19</v>
      </c>
      <c r="H60" s="130">
        <v>1</v>
      </c>
      <c r="I60" s="131">
        <v>1</v>
      </c>
      <c r="J60" s="131">
        <f>365/7*6</f>
        <v>312.85714285714289</v>
      </c>
      <c r="K60" s="132">
        <f t="shared" si="0"/>
        <v>6.0730593607305927E-2</v>
      </c>
      <c r="L60" s="18" t="s">
        <v>401</v>
      </c>
      <c r="M60" s="14" t="s">
        <v>403</v>
      </c>
      <c r="N60" s="18"/>
    </row>
    <row r="61" spans="1:23" ht="45" x14ac:dyDescent="0.25">
      <c r="A61" s="17" t="s">
        <v>198</v>
      </c>
      <c r="B61" s="17">
        <v>5.3</v>
      </c>
      <c r="C61" s="17" t="s">
        <v>163</v>
      </c>
      <c r="D61" s="18" t="s">
        <v>234</v>
      </c>
      <c r="E61" s="20" t="s">
        <v>404</v>
      </c>
      <c r="F61" s="32" t="s">
        <v>69</v>
      </c>
      <c r="G61" s="125">
        <v>13</v>
      </c>
      <c r="H61" s="126">
        <v>1</v>
      </c>
      <c r="I61" s="127">
        <v>1</v>
      </c>
      <c r="J61" s="124">
        <f>365/7*15</f>
        <v>782.14285714285722</v>
      </c>
      <c r="K61" s="132">
        <f t="shared" si="0"/>
        <v>1.6621004566210042E-2</v>
      </c>
      <c r="L61" s="20" t="s">
        <v>405</v>
      </c>
      <c r="M61" s="14" t="s">
        <v>406</v>
      </c>
      <c r="N61" s="20"/>
    </row>
    <row r="62" spans="1:23" ht="45" x14ac:dyDescent="0.25">
      <c r="A62" s="34" t="s">
        <v>198</v>
      </c>
      <c r="B62" s="34">
        <v>5.3</v>
      </c>
      <c r="C62" s="17" t="s">
        <v>163</v>
      </c>
      <c r="D62" s="18" t="s">
        <v>247</v>
      </c>
      <c r="E62" s="18" t="s">
        <v>241</v>
      </c>
      <c r="F62" s="19" t="s">
        <v>231</v>
      </c>
      <c r="G62" s="129">
        <v>25</v>
      </c>
      <c r="H62" s="130">
        <v>1</v>
      </c>
      <c r="I62" s="131">
        <v>1</v>
      </c>
      <c r="J62" s="131">
        <f>365/7*10</f>
        <v>521.42857142857144</v>
      </c>
      <c r="K62" s="132">
        <f t="shared" si="0"/>
        <v>4.7945205479452052E-2</v>
      </c>
      <c r="L62" s="18" t="s">
        <v>407</v>
      </c>
      <c r="M62" s="15" t="s">
        <v>242</v>
      </c>
      <c r="N62" s="18"/>
    </row>
    <row r="63" spans="1:23" s="15" customFormat="1" ht="22.5" x14ac:dyDescent="0.25">
      <c r="A63" s="11" t="s">
        <v>1</v>
      </c>
      <c r="B63" s="11" t="s">
        <v>2</v>
      </c>
      <c r="C63" s="11" t="s">
        <v>3</v>
      </c>
      <c r="D63" s="12" t="s">
        <v>4</v>
      </c>
      <c r="E63" s="12" t="s">
        <v>5</v>
      </c>
      <c r="F63" s="12" t="s">
        <v>7</v>
      </c>
      <c r="G63" s="13" t="s">
        <v>8</v>
      </c>
      <c r="H63" s="13" t="s">
        <v>9</v>
      </c>
      <c r="I63" s="12" t="s">
        <v>10</v>
      </c>
      <c r="J63" s="12" t="s">
        <v>11</v>
      </c>
      <c r="K63" s="13" t="s">
        <v>54</v>
      </c>
      <c r="L63" s="13" t="s">
        <v>13</v>
      </c>
      <c r="M63" s="12" t="s">
        <v>14</v>
      </c>
      <c r="N63" s="98"/>
      <c r="O63" s="139"/>
      <c r="P63" s="139"/>
      <c r="Q63" s="139"/>
      <c r="R63" s="139"/>
      <c r="S63" s="139"/>
      <c r="T63" s="139"/>
      <c r="U63" s="139"/>
      <c r="V63" s="139"/>
      <c r="W63" s="139"/>
    </row>
    <row r="64" spans="1:23" ht="56.25" x14ac:dyDescent="0.25">
      <c r="A64" s="17" t="s">
        <v>198</v>
      </c>
      <c r="B64" s="17">
        <v>5.4</v>
      </c>
      <c r="C64" s="17" t="s">
        <v>163</v>
      </c>
      <c r="D64" s="14" t="s">
        <v>243</v>
      </c>
      <c r="E64" s="14" t="s">
        <v>244</v>
      </c>
      <c r="F64" s="32" t="s">
        <v>69</v>
      </c>
      <c r="G64" s="125">
        <v>60</v>
      </c>
      <c r="H64" s="130">
        <v>5</v>
      </c>
      <c r="I64" s="131">
        <v>1</v>
      </c>
      <c r="J64" s="131">
        <f>365/7*8</f>
        <v>417.14285714285717</v>
      </c>
      <c r="K64" s="132">
        <f t="shared" si="0"/>
        <v>0.14383561643835616</v>
      </c>
      <c r="L64" s="18" t="s">
        <v>408</v>
      </c>
      <c r="M64" s="24" t="s">
        <v>409</v>
      </c>
      <c r="N64" s="18"/>
    </row>
    <row r="65" spans="1:23" ht="22.5" x14ac:dyDescent="0.25">
      <c r="A65" s="17" t="s">
        <v>198</v>
      </c>
      <c r="B65" s="17">
        <v>5.4</v>
      </c>
      <c r="C65" s="17" t="s">
        <v>163</v>
      </c>
      <c r="D65" s="14" t="s">
        <v>243</v>
      </c>
      <c r="E65" s="14" t="s">
        <v>245</v>
      </c>
      <c r="F65" s="18" t="s">
        <v>69</v>
      </c>
      <c r="G65" s="129">
        <v>0</v>
      </c>
      <c r="H65" s="130">
        <v>2</v>
      </c>
      <c r="I65" s="131">
        <v>1</v>
      </c>
      <c r="J65" s="131">
        <f>365/7*8</f>
        <v>417.14285714285717</v>
      </c>
      <c r="K65" s="132">
        <f t="shared" si="0"/>
        <v>0</v>
      </c>
      <c r="L65" s="18" t="s">
        <v>599</v>
      </c>
      <c r="M65" s="15" t="s">
        <v>1163</v>
      </c>
      <c r="N65" s="18"/>
    </row>
    <row r="66" spans="1:23" ht="45" x14ac:dyDescent="0.25">
      <c r="A66" s="17" t="s">
        <v>198</v>
      </c>
      <c r="B66" s="17">
        <v>5.4</v>
      </c>
      <c r="C66" s="17" t="s">
        <v>163</v>
      </c>
      <c r="D66" s="18" t="s">
        <v>243</v>
      </c>
      <c r="E66" s="18" t="s">
        <v>246</v>
      </c>
      <c r="F66" s="19" t="s">
        <v>203</v>
      </c>
      <c r="G66" s="129">
        <v>45</v>
      </c>
      <c r="H66" s="130">
        <v>5</v>
      </c>
      <c r="I66" s="130">
        <v>1</v>
      </c>
      <c r="J66" s="131">
        <f>365/7*15</f>
        <v>782.14285714285722</v>
      </c>
      <c r="K66" s="132">
        <f t="shared" si="0"/>
        <v>5.7534246575342458E-2</v>
      </c>
      <c r="L66" s="18" t="s">
        <v>600</v>
      </c>
      <c r="M66" s="14" t="s">
        <v>410</v>
      </c>
      <c r="N66" s="27"/>
    </row>
    <row r="67" spans="1:23" ht="22.5" x14ac:dyDescent="0.25">
      <c r="A67" s="17" t="s">
        <v>198</v>
      </c>
      <c r="B67" s="17">
        <v>5.4</v>
      </c>
      <c r="C67" s="17" t="s">
        <v>163</v>
      </c>
      <c r="D67" s="18" t="s">
        <v>243</v>
      </c>
      <c r="E67" s="20" t="s">
        <v>411</v>
      </c>
      <c r="F67" s="32" t="s">
        <v>28</v>
      </c>
      <c r="G67" s="125">
        <v>6</v>
      </c>
      <c r="H67" s="126">
        <v>1</v>
      </c>
      <c r="I67" s="126">
        <v>1</v>
      </c>
      <c r="J67" s="124">
        <f>365/7*15</f>
        <v>782.14285714285722</v>
      </c>
      <c r="K67" s="132">
        <f t="shared" si="0"/>
        <v>7.6712328767123278E-3</v>
      </c>
      <c r="L67" s="20" t="s">
        <v>412</v>
      </c>
      <c r="M67" s="17" t="s">
        <v>413</v>
      </c>
      <c r="N67" s="18"/>
    </row>
    <row r="68" spans="1:23" ht="22.5" x14ac:dyDescent="0.25">
      <c r="A68" s="18" t="s">
        <v>198</v>
      </c>
      <c r="B68" s="17">
        <v>5.4</v>
      </c>
      <c r="C68" s="17" t="s">
        <v>163</v>
      </c>
      <c r="D68" s="18" t="s">
        <v>243</v>
      </c>
      <c r="E68" s="20" t="s">
        <v>414</v>
      </c>
      <c r="F68" s="32" t="s">
        <v>69</v>
      </c>
      <c r="G68" s="125">
        <v>1.5</v>
      </c>
      <c r="H68" s="126">
        <v>1</v>
      </c>
      <c r="I68" s="126">
        <v>2</v>
      </c>
      <c r="J68" s="124">
        <f>365/7*5</f>
        <v>260.71428571428572</v>
      </c>
      <c r="K68" s="132">
        <f t="shared" si="0"/>
        <v>1.1506849315068493E-2</v>
      </c>
      <c r="L68" s="18" t="s">
        <v>415</v>
      </c>
      <c r="M68" s="14" t="s">
        <v>416</v>
      </c>
      <c r="N68" s="18"/>
    </row>
    <row r="69" spans="1:23" ht="22.5" x14ac:dyDescent="0.25">
      <c r="A69" s="18" t="s">
        <v>198</v>
      </c>
      <c r="B69" s="17">
        <v>5.4</v>
      </c>
      <c r="C69" s="17" t="s">
        <v>163</v>
      </c>
      <c r="D69" s="18" t="s">
        <v>243</v>
      </c>
      <c r="E69" s="20" t="s">
        <v>248</v>
      </c>
      <c r="F69" s="32" t="s">
        <v>69</v>
      </c>
      <c r="G69" s="125">
        <v>1.5</v>
      </c>
      <c r="H69" s="126">
        <v>1</v>
      </c>
      <c r="I69" s="126">
        <v>1</v>
      </c>
      <c r="J69" s="124">
        <f>365/7*5</f>
        <v>260.71428571428572</v>
      </c>
      <c r="K69" s="132">
        <f t="shared" si="0"/>
        <v>5.7534246575342467E-3</v>
      </c>
      <c r="L69" s="18" t="s">
        <v>417</v>
      </c>
      <c r="M69" s="14" t="s">
        <v>418</v>
      </c>
      <c r="N69" s="20"/>
    </row>
    <row r="70" spans="1:23" ht="22.5" x14ac:dyDescent="0.25">
      <c r="A70" s="18" t="s">
        <v>198</v>
      </c>
      <c r="B70" s="17">
        <v>5.4</v>
      </c>
      <c r="C70" s="17" t="s">
        <v>163</v>
      </c>
      <c r="D70" s="18" t="s">
        <v>243</v>
      </c>
      <c r="E70" s="20" t="s">
        <v>249</v>
      </c>
      <c r="F70" s="32" t="s">
        <v>69</v>
      </c>
      <c r="G70" s="125">
        <v>2</v>
      </c>
      <c r="H70" s="126">
        <v>1</v>
      </c>
      <c r="I70" s="126">
        <v>1</v>
      </c>
      <c r="J70" s="124">
        <f>365/7*5</f>
        <v>260.71428571428572</v>
      </c>
      <c r="K70" s="132">
        <f t="shared" si="0"/>
        <v>7.6712328767123287E-3</v>
      </c>
      <c r="L70" s="18" t="s">
        <v>419</v>
      </c>
      <c r="M70" s="14" t="s">
        <v>420</v>
      </c>
      <c r="N70" s="20"/>
    </row>
    <row r="71" spans="1:23" ht="45" x14ac:dyDescent="0.25">
      <c r="A71" s="18" t="s">
        <v>198</v>
      </c>
      <c r="B71" s="17">
        <v>5.4</v>
      </c>
      <c r="C71" s="17" t="s">
        <v>163</v>
      </c>
      <c r="D71" s="18" t="s">
        <v>243</v>
      </c>
      <c r="E71" s="18" t="s">
        <v>250</v>
      </c>
      <c r="F71" s="19" t="s">
        <v>69</v>
      </c>
      <c r="G71" s="129">
        <v>1.75</v>
      </c>
      <c r="H71" s="130">
        <v>1</v>
      </c>
      <c r="I71" s="130">
        <v>2</v>
      </c>
      <c r="J71" s="131">
        <f>365/7*5</f>
        <v>260.71428571428572</v>
      </c>
      <c r="K71" s="132">
        <f t="shared" si="0"/>
        <v>1.3424657534246575E-2</v>
      </c>
      <c r="L71" s="18" t="s">
        <v>601</v>
      </c>
      <c r="M71" s="14" t="s">
        <v>421</v>
      </c>
      <c r="N71" s="27"/>
    </row>
    <row r="72" spans="1:23" ht="22.5" x14ac:dyDescent="0.25">
      <c r="A72" s="18" t="s">
        <v>198</v>
      </c>
      <c r="B72" s="17">
        <v>5.4</v>
      </c>
      <c r="C72" s="17" t="s">
        <v>163</v>
      </c>
      <c r="D72" s="18" t="s">
        <v>243</v>
      </c>
      <c r="E72" s="20" t="s">
        <v>422</v>
      </c>
      <c r="F72" s="32" t="s">
        <v>69</v>
      </c>
      <c r="G72" s="125">
        <v>1</v>
      </c>
      <c r="H72" s="126">
        <v>1</v>
      </c>
      <c r="I72" s="126">
        <v>1</v>
      </c>
      <c r="J72" s="124">
        <f>365/7*5</f>
        <v>260.71428571428572</v>
      </c>
      <c r="K72" s="132">
        <f t="shared" si="0"/>
        <v>3.8356164383561643E-3</v>
      </c>
      <c r="L72" s="18" t="s">
        <v>423</v>
      </c>
      <c r="M72" s="14" t="s">
        <v>424</v>
      </c>
      <c r="N72" s="20"/>
    </row>
    <row r="73" spans="1:23" ht="45" x14ac:dyDescent="0.25">
      <c r="A73" s="18" t="s">
        <v>198</v>
      </c>
      <c r="B73" s="17">
        <v>5.4</v>
      </c>
      <c r="C73" s="17" t="s">
        <v>163</v>
      </c>
      <c r="D73" s="18" t="s">
        <v>243</v>
      </c>
      <c r="E73" s="18" t="s">
        <v>253</v>
      </c>
      <c r="F73" s="19" t="s">
        <v>209</v>
      </c>
      <c r="G73" s="129">
        <v>3.5</v>
      </c>
      <c r="H73" s="130">
        <v>1</v>
      </c>
      <c r="I73" s="130">
        <v>1</v>
      </c>
      <c r="J73" s="131">
        <f>365/7*20</f>
        <v>1042.8571428571429</v>
      </c>
      <c r="K73" s="132">
        <f t="shared" si="0"/>
        <v>3.3561643835616438E-3</v>
      </c>
      <c r="L73" s="18" t="s">
        <v>602</v>
      </c>
      <c r="M73" s="14" t="s">
        <v>254</v>
      </c>
      <c r="N73" s="27"/>
    </row>
    <row r="74" spans="1:23" ht="56.25" x14ac:dyDescent="0.25">
      <c r="A74" s="17" t="s">
        <v>198</v>
      </c>
      <c r="B74" s="17">
        <v>5.4</v>
      </c>
      <c r="C74" s="17" t="s">
        <v>163</v>
      </c>
      <c r="D74" s="20" t="s">
        <v>243</v>
      </c>
      <c r="E74" s="20" t="s">
        <v>251</v>
      </c>
      <c r="F74" s="20" t="s">
        <v>69</v>
      </c>
      <c r="G74" s="125">
        <v>4.75</v>
      </c>
      <c r="H74" s="126"/>
      <c r="I74" s="127">
        <v>1</v>
      </c>
      <c r="J74" s="124">
        <f>365/7*35</f>
        <v>1825</v>
      </c>
      <c r="K74" s="132">
        <f t="shared" si="0"/>
        <v>2.6027397260273972E-3</v>
      </c>
      <c r="L74" s="20" t="s">
        <v>603</v>
      </c>
      <c r="M74" s="24" t="s">
        <v>425</v>
      </c>
      <c r="N74" s="37"/>
    </row>
    <row r="75" spans="1:23" ht="22.5" x14ac:dyDescent="0.25">
      <c r="A75" s="20" t="s">
        <v>198</v>
      </c>
      <c r="B75" s="17">
        <v>5.4</v>
      </c>
      <c r="C75" s="17" t="s">
        <v>163</v>
      </c>
      <c r="D75" s="20" t="s">
        <v>243</v>
      </c>
      <c r="E75" s="20" t="s">
        <v>252</v>
      </c>
      <c r="F75" s="20" t="s">
        <v>69</v>
      </c>
      <c r="G75" s="125">
        <v>2.5</v>
      </c>
      <c r="H75" s="126"/>
      <c r="I75" s="127">
        <v>1</v>
      </c>
      <c r="J75" s="124">
        <f>365/7*15</f>
        <v>782.14285714285722</v>
      </c>
      <c r="K75" s="132">
        <f t="shared" ref="K75:K87" si="1">G75*I75/J75</f>
        <v>3.1963470319634701E-3</v>
      </c>
      <c r="L75" s="20" t="s">
        <v>426</v>
      </c>
      <c r="M75" s="14" t="s">
        <v>427</v>
      </c>
      <c r="N75" s="20"/>
    </row>
    <row r="76" spans="1:23" s="15" customFormat="1" ht="22.5" x14ac:dyDescent="0.25">
      <c r="A76" s="11" t="s">
        <v>1</v>
      </c>
      <c r="B76" s="11" t="s">
        <v>2</v>
      </c>
      <c r="C76" s="11" t="s">
        <v>3</v>
      </c>
      <c r="D76" s="12" t="s">
        <v>4</v>
      </c>
      <c r="E76" s="12" t="s">
        <v>5</v>
      </c>
      <c r="F76" s="12" t="s">
        <v>7</v>
      </c>
      <c r="G76" s="13" t="s">
        <v>8</v>
      </c>
      <c r="H76" s="13" t="s">
        <v>9</v>
      </c>
      <c r="I76" s="12" t="s">
        <v>10</v>
      </c>
      <c r="J76" s="12" t="s">
        <v>11</v>
      </c>
      <c r="K76" s="13" t="s">
        <v>54</v>
      </c>
      <c r="L76" s="13" t="s">
        <v>13</v>
      </c>
      <c r="M76" s="12" t="s">
        <v>14</v>
      </c>
      <c r="N76" s="98"/>
      <c r="O76" s="139"/>
      <c r="P76" s="139"/>
      <c r="Q76" s="139"/>
      <c r="R76" s="139"/>
      <c r="S76" s="139"/>
      <c r="T76" s="139"/>
      <c r="U76" s="139"/>
      <c r="V76" s="139"/>
      <c r="W76" s="139"/>
    </row>
    <row r="77" spans="1:23" ht="78.75" x14ac:dyDescent="0.25">
      <c r="A77" s="17" t="s">
        <v>198</v>
      </c>
      <c r="B77" s="17">
        <v>5.4</v>
      </c>
      <c r="C77" s="17" t="s">
        <v>163</v>
      </c>
      <c r="D77" s="20" t="s">
        <v>243</v>
      </c>
      <c r="E77" s="20" t="s">
        <v>428</v>
      </c>
      <c r="F77" s="20" t="s">
        <v>203</v>
      </c>
      <c r="G77" s="125">
        <v>16</v>
      </c>
      <c r="H77" s="126">
        <v>3</v>
      </c>
      <c r="I77" s="126">
        <v>1</v>
      </c>
      <c r="J77" s="124">
        <f>365/7*35</f>
        <v>1825</v>
      </c>
      <c r="K77" s="132">
        <f t="shared" si="1"/>
        <v>8.7671232876712323E-3</v>
      </c>
      <c r="L77" s="20" t="s">
        <v>604</v>
      </c>
      <c r="M77" s="14" t="s">
        <v>429</v>
      </c>
      <c r="N77" s="37"/>
    </row>
    <row r="78" spans="1:23" ht="45" x14ac:dyDescent="0.25">
      <c r="A78" s="17" t="s">
        <v>198</v>
      </c>
      <c r="B78" s="17">
        <v>5.4</v>
      </c>
      <c r="C78" s="17" t="s">
        <v>163</v>
      </c>
      <c r="D78" s="20" t="s">
        <v>243</v>
      </c>
      <c r="E78" s="20" t="s">
        <v>430</v>
      </c>
      <c r="F78" s="20" t="s">
        <v>69</v>
      </c>
      <c r="G78" s="125">
        <v>3.5</v>
      </c>
      <c r="H78" s="126">
        <v>1</v>
      </c>
      <c r="I78" s="126">
        <v>1</v>
      </c>
      <c r="J78" s="124">
        <f>365/7*15</f>
        <v>782.14285714285722</v>
      </c>
      <c r="K78" s="132">
        <f t="shared" si="1"/>
        <v>4.4748858447488582E-3</v>
      </c>
      <c r="L78" s="20" t="s">
        <v>605</v>
      </c>
      <c r="M78" s="14" t="s">
        <v>431</v>
      </c>
      <c r="N78" s="20"/>
    </row>
    <row r="79" spans="1:23" ht="101.25" x14ac:dyDescent="0.25">
      <c r="A79" s="18" t="s">
        <v>198</v>
      </c>
      <c r="B79" s="17">
        <v>5.4</v>
      </c>
      <c r="C79" s="17" t="s">
        <v>163</v>
      </c>
      <c r="D79" s="18" t="s">
        <v>247</v>
      </c>
      <c r="E79" s="18" t="s">
        <v>255</v>
      </c>
      <c r="F79" s="19" t="s">
        <v>203</v>
      </c>
      <c r="G79" s="129">
        <v>18</v>
      </c>
      <c r="H79" s="130">
        <v>8</v>
      </c>
      <c r="I79" s="130">
        <v>1</v>
      </c>
      <c r="J79" s="131">
        <f>365/7*10</f>
        <v>521.42857142857144</v>
      </c>
      <c r="K79" s="132">
        <f t="shared" si="1"/>
        <v>3.4520547945205475E-2</v>
      </c>
      <c r="L79" s="18" t="s">
        <v>606</v>
      </c>
      <c r="M79" s="14" t="s">
        <v>432</v>
      </c>
      <c r="N79" s="27"/>
    </row>
    <row r="80" spans="1:23" ht="45" x14ac:dyDescent="0.25">
      <c r="A80" s="18" t="s">
        <v>198</v>
      </c>
      <c r="B80" s="17">
        <v>5.4</v>
      </c>
      <c r="C80" s="17" t="s">
        <v>163</v>
      </c>
      <c r="D80" s="18" t="s">
        <v>247</v>
      </c>
      <c r="E80" s="18" t="s">
        <v>433</v>
      </c>
      <c r="F80" s="19" t="s">
        <v>69</v>
      </c>
      <c r="G80" s="129">
        <v>0.5</v>
      </c>
      <c r="H80" s="130">
        <v>1</v>
      </c>
      <c r="I80" s="130">
        <v>3</v>
      </c>
      <c r="J80" s="131">
        <f>365/7*2</f>
        <v>104.28571428571429</v>
      </c>
      <c r="K80" s="132">
        <f t="shared" si="1"/>
        <v>1.4383561643835616E-2</v>
      </c>
      <c r="L80" s="18" t="s">
        <v>607</v>
      </c>
      <c r="M80" s="14" t="s">
        <v>434</v>
      </c>
      <c r="N80" s="18"/>
    </row>
    <row r="81" spans="1:23" ht="22.5" x14ac:dyDescent="0.25">
      <c r="A81" s="17" t="s">
        <v>198</v>
      </c>
      <c r="B81" s="17">
        <v>5.4</v>
      </c>
      <c r="C81" s="17" t="s">
        <v>163</v>
      </c>
      <c r="D81" s="33" t="s">
        <v>218</v>
      </c>
      <c r="E81" s="14" t="s">
        <v>608</v>
      </c>
      <c r="F81" s="14" t="s">
        <v>69</v>
      </c>
      <c r="G81" s="132">
        <v>2.5</v>
      </c>
      <c r="H81" s="133">
        <v>1</v>
      </c>
      <c r="I81" s="133">
        <v>2</v>
      </c>
      <c r="J81" s="134">
        <f>365/7*20</f>
        <v>1042.8571428571429</v>
      </c>
      <c r="K81" s="132">
        <f t="shared" si="1"/>
        <v>4.7945205479452057E-3</v>
      </c>
      <c r="L81" s="14" t="s">
        <v>459</v>
      </c>
      <c r="M81" s="14" t="s">
        <v>262</v>
      </c>
      <c r="N81" s="18"/>
    </row>
    <row r="82" spans="1:23" ht="33.75" x14ac:dyDescent="0.25">
      <c r="A82" s="18" t="s">
        <v>198</v>
      </c>
      <c r="B82" s="17">
        <v>5.4</v>
      </c>
      <c r="C82" s="17" t="s">
        <v>163</v>
      </c>
      <c r="D82" s="18" t="s">
        <v>247</v>
      </c>
      <c r="E82" s="18" t="s">
        <v>258</v>
      </c>
      <c r="F82" s="19" t="s">
        <v>69</v>
      </c>
      <c r="G82" s="129">
        <v>3</v>
      </c>
      <c r="H82" s="130">
        <v>1</v>
      </c>
      <c r="I82" s="130">
        <v>1</v>
      </c>
      <c r="J82" s="131">
        <f>365/7*4</f>
        <v>208.57142857142858</v>
      </c>
      <c r="K82" s="132">
        <f t="shared" si="1"/>
        <v>1.4383561643835616E-2</v>
      </c>
      <c r="L82" s="18" t="s">
        <v>609</v>
      </c>
      <c r="M82" s="14" t="s">
        <v>435</v>
      </c>
      <c r="N82" s="27"/>
    </row>
    <row r="83" spans="1:23" ht="22.5" x14ac:dyDescent="0.25">
      <c r="A83" s="18" t="s">
        <v>198</v>
      </c>
      <c r="B83" s="17">
        <v>5.4</v>
      </c>
      <c r="C83" s="17" t="s">
        <v>163</v>
      </c>
      <c r="D83" s="18" t="s">
        <v>247</v>
      </c>
      <c r="E83" s="20" t="s">
        <v>436</v>
      </c>
      <c r="F83" s="32" t="s">
        <v>69</v>
      </c>
      <c r="G83" s="125">
        <v>10</v>
      </c>
      <c r="H83" s="126">
        <v>1</v>
      </c>
      <c r="I83" s="126">
        <v>1</v>
      </c>
      <c r="J83" s="124">
        <f>365/7*6</f>
        <v>312.85714285714289</v>
      </c>
      <c r="K83" s="132">
        <f t="shared" si="1"/>
        <v>3.1963470319634701E-2</v>
      </c>
      <c r="L83" s="18" t="s">
        <v>437</v>
      </c>
      <c r="M83" s="14" t="s">
        <v>438</v>
      </c>
      <c r="N83" s="37"/>
    </row>
    <row r="84" spans="1:23" ht="45" x14ac:dyDescent="0.25">
      <c r="A84" s="20" t="s">
        <v>198</v>
      </c>
      <c r="B84" s="17">
        <v>5.4</v>
      </c>
      <c r="C84" s="20" t="s">
        <v>163</v>
      </c>
      <c r="D84" s="20" t="s">
        <v>247</v>
      </c>
      <c r="E84" s="20" t="s">
        <v>439</v>
      </c>
      <c r="F84" s="32" t="s">
        <v>69</v>
      </c>
      <c r="G84" s="125">
        <v>0.6</v>
      </c>
      <c r="H84" s="126">
        <v>1</v>
      </c>
      <c r="I84" s="126">
        <v>1</v>
      </c>
      <c r="J84" s="124">
        <f>365/7*2</f>
        <v>104.28571428571429</v>
      </c>
      <c r="K84" s="132">
        <f t="shared" si="1"/>
        <v>5.7534246575342458E-3</v>
      </c>
      <c r="L84" s="20" t="s">
        <v>610</v>
      </c>
      <c r="M84" s="14" t="s">
        <v>440</v>
      </c>
      <c r="N84" s="37"/>
    </row>
    <row r="85" spans="1:23" ht="33.75" x14ac:dyDescent="0.25">
      <c r="A85" s="18" t="s">
        <v>198</v>
      </c>
      <c r="B85" s="17">
        <v>5.4</v>
      </c>
      <c r="C85" s="18" t="s">
        <v>163</v>
      </c>
      <c r="D85" s="18" t="s">
        <v>247</v>
      </c>
      <c r="E85" s="20" t="s">
        <v>256</v>
      </c>
      <c r="F85" s="32" t="s">
        <v>69</v>
      </c>
      <c r="G85" s="125">
        <v>4</v>
      </c>
      <c r="H85" s="126">
        <v>1</v>
      </c>
      <c r="I85" s="126">
        <v>1</v>
      </c>
      <c r="J85" s="124">
        <f>365/7*35</f>
        <v>1825</v>
      </c>
      <c r="K85" s="132">
        <f t="shared" si="1"/>
        <v>2.1917808219178081E-3</v>
      </c>
      <c r="L85" s="18" t="s">
        <v>441</v>
      </c>
      <c r="M85" s="14" t="s">
        <v>442</v>
      </c>
      <c r="N85" s="18"/>
    </row>
    <row r="86" spans="1:23" s="15" customFormat="1" ht="22.5" x14ac:dyDescent="0.25">
      <c r="A86" s="11" t="s">
        <v>1</v>
      </c>
      <c r="B86" s="11" t="s">
        <v>2</v>
      </c>
      <c r="C86" s="11" t="s">
        <v>3</v>
      </c>
      <c r="D86" s="12" t="s">
        <v>4</v>
      </c>
      <c r="E86" s="12" t="s">
        <v>5</v>
      </c>
      <c r="F86" s="12" t="s">
        <v>7</v>
      </c>
      <c r="G86" s="13" t="s">
        <v>8</v>
      </c>
      <c r="H86" s="13" t="s">
        <v>9</v>
      </c>
      <c r="I86" s="12" t="s">
        <v>10</v>
      </c>
      <c r="J86" s="12" t="s">
        <v>11</v>
      </c>
      <c r="K86" s="13" t="s">
        <v>54</v>
      </c>
      <c r="L86" s="13" t="s">
        <v>13</v>
      </c>
      <c r="M86" s="12" t="s">
        <v>14</v>
      </c>
      <c r="N86" s="98"/>
      <c r="O86" s="139"/>
      <c r="P86" s="139"/>
      <c r="Q86" s="139"/>
      <c r="R86" s="139"/>
      <c r="S86" s="139"/>
      <c r="T86" s="139"/>
      <c r="U86" s="139"/>
      <c r="V86" s="139"/>
      <c r="W86" s="139"/>
    </row>
    <row r="87" spans="1:23" ht="45" x14ac:dyDescent="0.25">
      <c r="A87" s="17" t="s">
        <v>198</v>
      </c>
      <c r="B87" s="17">
        <v>5.4</v>
      </c>
      <c r="C87" s="17" t="s">
        <v>163</v>
      </c>
      <c r="D87" s="20" t="s">
        <v>247</v>
      </c>
      <c r="E87" s="20" t="s">
        <v>257</v>
      </c>
      <c r="F87" s="20" t="s">
        <v>69</v>
      </c>
      <c r="G87" s="125">
        <v>5</v>
      </c>
      <c r="H87" s="126">
        <v>1</v>
      </c>
      <c r="I87" s="126">
        <v>1</v>
      </c>
      <c r="J87" s="124">
        <f>365/7*20</f>
        <v>1042.8571428571429</v>
      </c>
      <c r="K87" s="132">
        <f t="shared" si="1"/>
        <v>4.7945205479452057E-3</v>
      </c>
      <c r="L87" s="20" t="s">
        <v>611</v>
      </c>
      <c r="M87" s="14" t="s">
        <v>443</v>
      </c>
      <c r="N87" s="37"/>
    </row>
    <row r="88" spans="1:23" ht="45" x14ac:dyDescent="0.25">
      <c r="A88" s="18" t="s">
        <v>198</v>
      </c>
      <c r="B88" s="17">
        <v>5.4</v>
      </c>
      <c r="C88" s="18" t="s">
        <v>163</v>
      </c>
      <c r="D88" s="18" t="s">
        <v>247</v>
      </c>
      <c r="E88" s="20" t="s">
        <v>444</v>
      </c>
      <c r="F88" s="32"/>
      <c r="G88" s="125">
        <v>15</v>
      </c>
      <c r="H88" s="126">
        <v>1</v>
      </c>
      <c r="I88" s="126">
        <v>1</v>
      </c>
      <c r="J88" s="124">
        <f>365/7</f>
        <v>52.142857142857146</v>
      </c>
      <c r="K88" s="132">
        <f>G88*I88/J88</f>
        <v>0.28767123287671231</v>
      </c>
      <c r="L88" s="18" t="s">
        <v>445</v>
      </c>
      <c r="M88" s="173"/>
      <c r="N88" s="20"/>
    </row>
    <row r="89" spans="1:23" ht="33.75" x14ac:dyDescent="0.25">
      <c r="A89" s="17" t="s">
        <v>198</v>
      </c>
      <c r="B89" s="17">
        <v>5.4</v>
      </c>
      <c r="C89" s="18" t="s">
        <v>163</v>
      </c>
      <c r="D89" s="18" t="s">
        <v>247</v>
      </c>
      <c r="E89" s="20" t="s">
        <v>446</v>
      </c>
      <c r="F89" s="32" t="s">
        <v>203</v>
      </c>
      <c r="G89" s="125">
        <v>16</v>
      </c>
      <c r="H89" s="126">
        <v>3</v>
      </c>
      <c r="I89" s="126">
        <v>1</v>
      </c>
      <c r="J89" s="124">
        <f>365/7*35</f>
        <v>1825</v>
      </c>
      <c r="K89" s="132">
        <f t="shared" ref="K89:K156" si="2">G89*I89/J89</f>
        <v>8.7671232876712323E-3</v>
      </c>
      <c r="L89" s="20" t="s">
        <v>447</v>
      </c>
      <c r="M89" s="14" t="s">
        <v>448</v>
      </c>
      <c r="N89" s="18"/>
    </row>
    <row r="90" spans="1:23" ht="22.5" x14ac:dyDescent="0.25">
      <c r="A90" s="18" t="s">
        <v>198</v>
      </c>
      <c r="B90" s="17">
        <v>5.4</v>
      </c>
      <c r="C90" s="17" t="s">
        <v>163</v>
      </c>
      <c r="D90" s="18" t="s">
        <v>247</v>
      </c>
      <c r="E90" s="18" t="s">
        <v>449</v>
      </c>
      <c r="F90" s="19" t="s">
        <v>69</v>
      </c>
      <c r="G90" s="129">
        <v>3</v>
      </c>
      <c r="H90" s="130">
        <v>3</v>
      </c>
      <c r="I90" s="130">
        <v>1</v>
      </c>
      <c r="J90" s="131">
        <f>365/7*5</f>
        <v>260.71428571428572</v>
      </c>
      <c r="K90" s="132">
        <f t="shared" si="2"/>
        <v>1.1506849315068493E-2</v>
      </c>
      <c r="L90" s="18" t="s">
        <v>612</v>
      </c>
      <c r="M90" s="14" t="s">
        <v>450</v>
      </c>
      <c r="N90" s="18"/>
    </row>
    <row r="91" spans="1:23" ht="22.5" x14ac:dyDescent="0.25">
      <c r="A91" s="18" t="s">
        <v>198</v>
      </c>
      <c r="B91" s="17">
        <v>5.4</v>
      </c>
      <c r="C91" s="18" t="s">
        <v>163</v>
      </c>
      <c r="D91" s="18" t="s">
        <v>247</v>
      </c>
      <c r="E91" s="20" t="s">
        <v>280</v>
      </c>
      <c r="F91" s="32" t="s">
        <v>209</v>
      </c>
      <c r="G91" s="125">
        <v>12</v>
      </c>
      <c r="H91" s="126">
        <v>1</v>
      </c>
      <c r="I91" s="126">
        <v>1</v>
      </c>
      <c r="J91" s="124">
        <f>365/7*5</f>
        <v>260.71428571428572</v>
      </c>
      <c r="K91" s="132">
        <f t="shared" si="2"/>
        <v>4.6027397260273974E-2</v>
      </c>
      <c r="L91" s="18" t="s">
        <v>451</v>
      </c>
      <c r="M91" s="14" t="s">
        <v>452</v>
      </c>
      <c r="N91" s="20"/>
    </row>
    <row r="92" spans="1:23" ht="22.5" x14ac:dyDescent="0.25">
      <c r="A92" s="18" t="s">
        <v>198</v>
      </c>
      <c r="B92" s="15">
        <v>5.4</v>
      </c>
      <c r="C92" s="17" t="s">
        <v>163</v>
      </c>
      <c r="D92" s="18" t="s">
        <v>247</v>
      </c>
      <c r="E92" s="18" t="s">
        <v>215</v>
      </c>
      <c r="F92" s="32" t="s">
        <v>203</v>
      </c>
      <c r="G92" s="125">
        <v>6</v>
      </c>
      <c r="H92" s="126">
        <v>1</v>
      </c>
      <c r="I92" s="126">
        <v>1</v>
      </c>
      <c r="J92" s="124">
        <f>365/7*15</f>
        <v>782.14285714285722</v>
      </c>
      <c r="K92" s="132">
        <f t="shared" si="2"/>
        <v>7.6712328767123278E-3</v>
      </c>
      <c r="L92" s="18" t="s">
        <v>613</v>
      </c>
      <c r="M92" s="14" t="s">
        <v>453</v>
      </c>
      <c r="N92" s="18"/>
    </row>
    <row r="93" spans="1:23" ht="22.5" x14ac:dyDescent="0.25">
      <c r="A93" s="18" t="s">
        <v>198</v>
      </c>
      <c r="B93" s="15">
        <v>5.6</v>
      </c>
      <c r="C93" s="17" t="s">
        <v>163</v>
      </c>
      <c r="D93" s="18" t="s">
        <v>247</v>
      </c>
      <c r="E93" s="18" t="s">
        <v>261</v>
      </c>
      <c r="F93" s="20" t="s">
        <v>29</v>
      </c>
      <c r="G93" s="125">
        <v>2.2000000000000002</v>
      </c>
      <c r="H93" s="126">
        <v>30</v>
      </c>
      <c r="I93" s="126">
        <v>1</v>
      </c>
      <c r="J93" s="124">
        <f>30/3.5</f>
        <v>8.5714285714285712</v>
      </c>
      <c r="K93" s="132">
        <f t="shared" si="2"/>
        <v>0.25666666666666671</v>
      </c>
      <c r="L93" s="18" t="s">
        <v>454</v>
      </c>
      <c r="M93" s="14" t="s">
        <v>455</v>
      </c>
      <c r="N93" s="18"/>
    </row>
    <row r="94" spans="1:23" ht="45" x14ac:dyDescent="0.25">
      <c r="A94" s="17" t="s">
        <v>198</v>
      </c>
      <c r="B94" s="17">
        <v>5.4</v>
      </c>
      <c r="C94" s="17" t="s">
        <v>163</v>
      </c>
      <c r="D94" s="18" t="s">
        <v>247</v>
      </c>
      <c r="E94" s="18" t="s">
        <v>263</v>
      </c>
      <c r="F94" s="19" t="s">
        <v>69</v>
      </c>
      <c r="G94" s="129">
        <v>1.7</v>
      </c>
      <c r="H94" s="130">
        <v>1</v>
      </c>
      <c r="I94" s="130">
        <v>1</v>
      </c>
      <c r="J94" s="131">
        <f>365/7*2</f>
        <v>104.28571428571429</v>
      </c>
      <c r="K94" s="132">
        <f t="shared" si="2"/>
        <v>1.6301369863013698E-2</v>
      </c>
      <c r="L94" s="18" t="s">
        <v>614</v>
      </c>
      <c r="M94" s="14" t="s">
        <v>264</v>
      </c>
      <c r="N94" s="27"/>
    </row>
    <row r="95" spans="1:23" ht="45" x14ac:dyDescent="0.25">
      <c r="A95" s="17" t="s">
        <v>198</v>
      </c>
      <c r="B95" s="15">
        <v>5.4</v>
      </c>
      <c r="C95" s="17" t="s">
        <v>163</v>
      </c>
      <c r="D95" s="18" t="s">
        <v>247</v>
      </c>
      <c r="E95" s="18" t="s">
        <v>265</v>
      </c>
      <c r="F95" s="19" t="s">
        <v>69</v>
      </c>
      <c r="G95" s="129">
        <v>1.7</v>
      </c>
      <c r="H95" s="130">
        <v>1</v>
      </c>
      <c r="I95" s="130">
        <v>1</v>
      </c>
      <c r="J95" s="131">
        <f>365/7*2</f>
        <v>104.28571428571429</v>
      </c>
      <c r="K95" s="132">
        <f t="shared" si="2"/>
        <v>1.6301369863013698E-2</v>
      </c>
      <c r="L95" s="18" t="s">
        <v>615</v>
      </c>
      <c r="M95" s="14" t="s">
        <v>266</v>
      </c>
      <c r="N95" s="27"/>
    </row>
    <row r="96" spans="1:23" ht="67.5" x14ac:dyDescent="0.25">
      <c r="A96" s="17" t="s">
        <v>198</v>
      </c>
      <c r="B96" s="17">
        <v>5.4</v>
      </c>
      <c r="C96" s="17" t="s">
        <v>163</v>
      </c>
      <c r="D96" s="18" t="s">
        <v>247</v>
      </c>
      <c r="E96" s="18" t="s">
        <v>456</v>
      </c>
      <c r="F96" s="19" t="s">
        <v>99</v>
      </c>
      <c r="G96" s="129">
        <v>7.99</v>
      </c>
      <c r="H96" s="130">
        <v>17</v>
      </c>
      <c r="I96" s="130">
        <v>1</v>
      </c>
      <c r="J96" s="131">
        <f>365/7*5</f>
        <v>260.71428571428572</v>
      </c>
      <c r="K96" s="132">
        <f t="shared" si="2"/>
        <v>3.0646575342465752E-2</v>
      </c>
      <c r="L96" s="18" t="s">
        <v>457</v>
      </c>
      <c r="M96" s="14" t="s">
        <v>458</v>
      </c>
      <c r="N96" s="18"/>
    </row>
    <row r="97" spans="1:23" ht="45" x14ac:dyDescent="0.25">
      <c r="A97" s="17" t="s">
        <v>198</v>
      </c>
      <c r="B97" s="15">
        <v>5.4</v>
      </c>
      <c r="C97" s="17" t="s">
        <v>163</v>
      </c>
      <c r="D97" s="18" t="s">
        <v>247</v>
      </c>
      <c r="E97" s="18" t="s">
        <v>259</v>
      </c>
      <c r="F97" s="19" t="s">
        <v>205</v>
      </c>
      <c r="G97" s="129">
        <v>10.49</v>
      </c>
      <c r="H97" s="130">
        <v>3</v>
      </c>
      <c r="I97" s="130">
        <v>1</v>
      </c>
      <c r="J97" s="131">
        <f>365/7*10</f>
        <v>521.42857142857144</v>
      </c>
      <c r="K97" s="132">
        <f t="shared" si="2"/>
        <v>2.0117808219178083E-2</v>
      </c>
      <c r="L97" s="18" t="s">
        <v>616</v>
      </c>
      <c r="M97" s="14" t="s">
        <v>460</v>
      </c>
      <c r="N97" s="18"/>
    </row>
    <row r="98" spans="1:23" ht="22.5" x14ac:dyDescent="0.25">
      <c r="A98" s="17" t="s">
        <v>198</v>
      </c>
      <c r="B98" s="15">
        <v>5.4</v>
      </c>
      <c r="C98" s="17" t="s">
        <v>163</v>
      </c>
      <c r="D98" s="18" t="s">
        <v>247</v>
      </c>
      <c r="E98" s="18" t="s">
        <v>461</v>
      </c>
      <c r="F98" s="19" t="s">
        <v>205</v>
      </c>
      <c r="G98" s="129">
        <v>4.99</v>
      </c>
      <c r="H98" s="130">
        <v>1</v>
      </c>
      <c r="I98" s="130">
        <v>1</v>
      </c>
      <c r="J98" s="131">
        <f>365/7*10</f>
        <v>521.42857142857144</v>
      </c>
      <c r="K98" s="132">
        <f t="shared" si="2"/>
        <v>9.5698630136986304E-3</v>
      </c>
      <c r="L98" s="18" t="s">
        <v>462</v>
      </c>
      <c r="M98" s="14" t="s">
        <v>463</v>
      </c>
      <c r="N98" s="18"/>
    </row>
    <row r="99" spans="1:23" ht="22.5" x14ac:dyDescent="0.25">
      <c r="A99" s="17" t="s">
        <v>198</v>
      </c>
      <c r="B99" s="17">
        <v>5.6</v>
      </c>
      <c r="C99" s="17" t="s">
        <v>163</v>
      </c>
      <c r="D99" s="18" t="s">
        <v>267</v>
      </c>
      <c r="E99" s="18" t="s">
        <v>319</v>
      </c>
      <c r="F99" s="19" t="s">
        <v>29</v>
      </c>
      <c r="G99" s="129">
        <v>1.7</v>
      </c>
      <c r="H99" s="130">
        <v>1</v>
      </c>
      <c r="I99" s="130">
        <v>1</v>
      </c>
      <c r="J99" s="131">
        <f>40/5*2</f>
        <v>16</v>
      </c>
      <c r="K99" s="132">
        <f t="shared" si="2"/>
        <v>0.10625</v>
      </c>
      <c r="L99" s="18" t="s">
        <v>617</v>
      </c>
      <c r="M99" s="14" t="s">
        <v>464</v>
      </c>
      <c r="N99" s="27"/>
    </row>
    <row r="100" spans="1:23" ht="22.5" x14ac:dyDescent="0.25">
      <c r="A100" s="17" t="s">
        <v>198</v>
      </c>
      <c r="B100" s="17">
        <v>5.6</v>
      </c>
      <c r="C100" s="17" t="s">
        <v>163</v>
      </c>
      <c r="D100" s="18" t="s">
        <v>267</v>
      </c>
      <c r="E100" s="18" t="s">
        <v>268</v>
      </c>
      <c r="F100" s="19" t="s">
        <v>29</v>
      </c>
      <c r="G100" s="129">
        <v>1.5</v>
      </c>
      <c r="H100" s="130">
        <v>1</v>
      </c>
      <c r="I100" s="130">
        <v>1</v>
      </c>
      <c r="J100" s="131">
        <f>74/5*2</f>
        <v>29.6</v>
      </c>
      <c r="K100" s="132">
        <f t="shared" si="2"/>
        <v>5.0675675675675672E-2</v>
      </c>
      <c r="L100" s="18" t="s">
        <v>465</v>
      </c>
      <c r="M100" s="14" t="s">
        <v>466</v>
      </c>
      <c r="N100" s="27"/>
    </row>
    <row r="101" spans="1:23" ht="45" x14ac:dyDescent="0.25">
      <c r="A101" s="17" t="s">
        <v>198</v>
      </c>
      <c r="B101" s="17">
        <v>5.6</v>
      </c>
      <c r="C101" s="17" t="s">
        <v>163</v>
      </c>
      <c r="D101" s="18" t="s">
        <v>267</v>
      </c>
      <c r="E101" s="18" t="s">
        <v>467</v>
      </c>
      <c r="F101" s="19" t="s">
        <v>69</v>
      </c>
      <c r="G101" s="129">
        <v>1</v>
      </c>
      <c r="H101" s="130">
        <v>1</v>
      </c>
      <c r="I101" s="130">
        <v>1</v>
      </c>
      <c r="J101" s="131">
        <v>50</v>
      </c>
      <c r="K101" s="132">
        <f t="shared" si="2"/>
        <v>0.02</v>
      </c>
      <c r="L101" s="18" t="s">
        <v>468</v>
      </c>
      <c r="M101" s="14" t="s">
        <v>469</v>
      </c>
      <c r="N101" s="18"/>
    </row>
    <row r="102" spans="1:23" s="15" customFormat="1" ht="22.5" x14ac:dyDescent="0.25">
      <c r="A102" s="11" t="s">
        <v>1</v>
      </c>
      <c r="B102" s="11" t="s">
        <v>2</v>
      </c>
      <c r="C102" s="11" t="s">
        <v>3</v>
      </c>
      <c r="D102" s="12" t="s">
        <v>4</v>
      </c>
      <c r="E102" s="12" t="s">
        <v>5</v>
      </c>
      <c r="F102" s="12" t="s">
        <v>7</v>
      </c>
      <c r="G102" s="13" t="s">
        <v>8</v>
      </c>
      <c r="H102" s="13" t="s">
        <v>9</v>
      </c>
      <c r="I102" s="12" t="s">
        <v>10</v>
      </c>
      <c r="J102" s="12" t="s">
        <v>11</v>
      </c>
      <c r="K102" s="13" t="s">
        <v>54</v>
      </c>
      <c r="L102" s="13" t="s">
        <v>13</v>
      </c>
      <c r="M102" s="12" t="s">
        <v>14</v>
      </c>
      <c r="N102" s="98"/>
      <c r="O102" s="139"/>
      <c r="P102" s="139"/>
      <c r="Q102" s="139"/>
      <c r="R102" s="139"/>
      <c r="S102" s="139"/>
      <c r="T102" s="139"/>
      <c r="U102" s="139"/>
      <c r="V102" s="139"/>
      <c r="W102" s="139"/>
    </row>
    <row r="103" spans="1:23" ht="56.25" x14ac:dyDescent="0.25">
      <c r="A103" s="18" t="s">
        <v>198</v>
      </c>
      <c r="B103" s="17">
        <v>5.4</v>
      </c>
      <c r="C103" s="17" t="s">
        <v>163</v>
      </c>
      <c r="D103" s="18" t="s">
        <v>267</v>
      </c>
      <c r="E103" s="18" t="s">
        <v>470</v>
      </c>
      <c r="F103" s="19" t="s">
        <v>28</v>
      </c>
      <c r="G103" s="129">
        <v>21</v>
      </c>
      <c r="H103" s="130">
        <v>1</v>
      </c>
      <c r="I103" s="130">
        <v>1</v>
      </c>
      <c r="J103" s="131">
        <f>365/7*15</f>
        <v>782.14285714285722</v>
      </c>
      <c r="K103" s="132">
        <f t="shared" si="2"/>
        <v>2.6849315068493147E-2</v>
      </c>
      <c r="L103" s="18" t="s">
        <v>618</v>
      </c>
      <c r="M103" s="17" t="s">
        <v>471</v>
      </c>
      <c r="N103" s="27"/>
    </row>
    <row r="104" spans="1:23" ht="33.75" x14ac:dyDescent="0.25">
      <c r="A104" s="18" t="s">
        <v>198</v>
      </c>
      <c r="B104" s="17">
        <v>5.4</v>
      </c>
      <c r="C104" s="17" t="s">
        <v>163</v>
      </c>
      <c r="D104" s="18" t="s">
        <v>267</v>
      </c>
      <c r="E104" s="18" t="s">
        <v>472</v>
      </c>
      <c r="F104" s="19" t="s">
        <v>205</v>
      </c>
      <c r="G104" s="129">
        <v>6.99</v>
      </c>
      <c r="H104" s="130">
        <v>2</v>
      </c>
      <c r="I104" s="130">
        <v>2</v>
      </c>
      <c r="J104" s="131">
        <f>365/7*15</f>
        <v>782.14285714285722</v>
      </c>
      <c r="K104" s="132">
        <f t="shared" si="2"/>
        <v>1.7873972602739725E-2</v>
      </c>
      <c r="L104" s="18" t="s">
        <v>1168</v>
      </c>
      <c r="M104" s="14" t="s">
        <v>473</v>
      </c>
      <c r="N104" s="27"/>
    </row>
    <row r="105" spans="1:23" ht="45" x14ac:dyDescent="0.25">
      <c r="A105" s="18" t="s">
        <v>198</v>
      </c>
      <c r="B105" s="17">
        <v>5.3</v>
      </c>
      <c r="C105" s="17" t="s">
        <v>163</v>
      </c>
      <c r="D105" s="18" t="s">
        <v>267</v>
      </c>
      <c r="E105" s="18" t="s">
        <v>269</v>
      </c>
      <c r="F105" s="19" t="s">
        <v>203</v>
      </c>
      <c r="G105" s="129">
        <v>28</v>
      </c>
      <c r="H105" s="130">
        <v>1</v>
      </c>
      <c r="I105" s="130">
        <v>1</v>
      </c>
      <c r="J105" s="131">
        <f>365/7*5</f>
        <v>260.71428571428572</v>
      </c>
      <c r="K105" s="132">
        <f t="shared" si="2"/>
        <v>0.1073972602739726</v>
      </c>
      <c r="L105" s="18" t="s">
        <v>619</v>
      </c>
      <c r="M105" s="14" t="s">
        <v>474</v>
      </c>
      <c r="N105" s="37"/>
    </row>
    <row r="106" spans="1:23" ht="45" x14ac:dyDescent="0.25">
      <c r="A106" s="17" t="s">
        <v>198</v>
      </c>
      <c r="B106" s="17">
        <v>5.4</v>
      </c>
      <c r="C106" s="17" t="s">
        <v>163</v>
      </c>
      <c r="D106" s="18" t="s">
        <v>267</v>
      </c>
      <c r="E106" s="18" t="s">
        <v>270</v>
      </c>
      <c r="F106" s="19" t="s">
        <v>203</v>
      </c>
      <c r="G106" s="125">
        <v>20</v>
      </c>
      <c r="H106" s="130">
        <v>1</v>
      </c>
      <c r="I106" s="130">
        <v>1</v>
      </c>
      <c r="J106" s="131">
        <f>365/7*15</f>
        <v>782.14285714285722</v>
      </c>
      <c r="K106" s="132">
        <f t="shared" si="2"/>
        <v>2.557077625570776E-2</v>
      </c>
      <c r="L106" s="18" t="s">
        <v>475</v>
      </c>
      <c r="M106" s="14" t="s">
        <v>476</v>
      </c>
      <c r="N106" s="37"/>
    </row>
    <row r="107" spans="1:23" ht="33.75" x14ac:dyDescent="0.25">
      <c r="A107" s="17" t="s">
        <v>198</v>
      </c>
      <c r="B107" s="17">
        <v>5.4</v>
      </c>
      <c r="C107" s="15" t="s">
        <v>163</v>
      </c>
      <c r="D107" s="15" t="s">
        <v>267</v>
      </c>
      <c r="E107" s="24" t="s">
        <v>271</v>
      </c>
      <c r="F107" s="25" t="s">
        <v>203</v>
      </c>
      <c r="G107" s="125">
        <v>6</v>
      </c>
      <c r="H107" s="126">
        <v>1</v>
      </c>
      <c r="I107" s="126">
        <v>1</v>
      </c>
      <c r="J107" s="124">
        <f>365/7*2</f>
        <v>104.28571428571429</v>
      </c>
      <c r="K107" s="132">
        <f t="shared" si="2"/>
        <v>5.7534246575342465E-2</v>
      </c>
      <c r="L107" s="15" t="s">
        <v>477</v>
      </c>
      <c r="M107" s="174" t="s">
        <v>478</v>
      </c>
      <c r="N107" s="15"/>
    </row>
    <row r="108" spans="1:23" ht="22.5" x14ac:dyDescent="0.25">
      <c r="A108" s="20" t="s">
        <v>198</v>
      </c>
      <c r="B108" s="17">
        <v>5.4</v>
      </c>
      <c r="C108" s="17" t="s">
        <v>163</v>
      </c>
      <c r="D108" s="20" t="s">
        <v>267</v>
      </c>
      <c r="E108" s="14" t="s">
        <v>479</v>
      </c>
      <c r="F108" s="18" t="s">
        <v>203</v>
      </c>
      <c r="G108" s="129">
        <v>8</v>
      </c>
      <c r="H108" s="130"/>
      <c r="I108" s="130">
        <v>1</v>
      </c>
      <c r="J108" s="131">
        <f>365/7*10</f>
        <v>521.42857142857144</v>
      </c>
      <c r="K108" s="132">
        <f t="shared" si="2"/>
        <v>1.5342465753424657E-2</v>
      </c>
      <c r="L108" s="20" t="s">
        <v>480</v>
      </c>
      <c r="M108" s="14" t="s">
        <v>481</v>
      </c>
      <c r="N108" s="37"/>
    </row>
    <row r="109" spans="1:23" ht="22.5" x14ac:dyDescent="0.25">
      <c r="A109" s="20" t="s">
        <v>198</v>
      </c>
      <c r="B109" s="17">
        <v>5.4</v>
      </c>
      <c r="C109" s="17" t="s">
        <v>163</v>
      </c>
      <c r="D109" s="20" t="s">
        <v>267</v>
      </c>
      <c r="E109" s="20" t="s">
        <v>482</v>
      </c>
      <c r="F109" s="32" t="s">
        <v>28</v>
      </c>
      <c r="G109" s="125">
        <v>1.6</v>
      </c>
      <c r="H109" s="126">
        <v>36</v>
      </c>
      <c r="I109" s="126">
        <v>1</v>
      </c>
      <c r="J109" s="124">
        <f>365/7*3</f>
        <v>156.42857142857144</v>
      </c>
      <c r="K109" s="132">
        <f t="shared" si="2"/>
        <v>1.0228310502283105E-2</v>
      </c>
      <c r="L109" s="20" t="s">
        <v>620</v>
      </c>
      <c r="M109" s="14" t="s">
        <v>483</v>
      </c>
      <c r="N109" s="37"/>
    </row>
    <row r="110" spans="1:23" ht="45" x14ac:dyDescent="0.25">
      <c r="A110" s="18" t="s">
        <v>198</v>
      </c>
      <c r="B110" s="17">
        <v>5.6</v>
      </c>
      <c r="C110" s="17" t="s">
        <v>163</v>
      </c>
      <c r="D110" s="18" t="s">
        <v>272</v>
      </c>
      <c r="E110" s="18" t="s">
        <v>484</v>
      </c>
      <c r="F110" s="32" t="s">
        <v>209</v>
      </c>
      <c r="G110" s="125">
        <v>15</v>
      </c>
      <c r="H110" s="126">
        <v>1</v>
      </c>
      <c r="I110" s="126">
        <v>1</v>
      </c>
      <c r="J110" s="124">
        <f>365/7*5</f>
        <v>260.71428571428572</v>
      </c>
      <c r="K110" s="132">
        <f t="shared" si="2"/>
        <v>5.7534246575342465E-2</v>
      </c>
      <c r="L110" s="18" t="s">
        <v>621</v>
      </c>
      <c r="M110" s="14" t="s">
        <v>485</v>
      </c>
      <c r="N110" s="18"/>
    </row>
    <row r="111" spans="1:23" ht="22.5" x14ac:dyDescent="0.25">
      <c r="A111" s="17" t="s">
        <v>198</v>
      </c>
      <c r="B111" s="17">
        <v>5.6</v>
      </c>
      <c r="C111" s="18" t="s">
        <v>163</v>
      </c>
      <c r="D111" s="18" t="s">
        <v>272</v>
      </c>
      <c r="E111" s="20" t="s">
        <v>486</v>
      </c>
      <c r="F111" s="32" t="s">
        <v>209</v>
      </c>
      <c r="G111" s="125">
        <v>2</v>
      </c>
      <c r="H111" s="126">
        <v>1</v>
      </c>
      <c r="I111" s="126">
        <v>1</v>
      </c>
      <c r="J111" s="124">
        <f>365/7*2</f>
        <v>104.28571428571429</v>
      </c>
      <c r="K111" s="132">
        <f t="shared" si="2"/>
        <v>1.9178082191780819E-2</v>
      </c>
      <c r="L111" s="18" t="s">
        <v>622</v>
      </c>
      <c r="M111" s="14" t="s">
        <v>487</v>
      </c>
      <c r="N111" s="18"/>
    </row>
    <row r="112" spans="1:23" ht="67.5" x14ac:dyDescent="0.25">
      <c r="A112" s="18" t="s">
        <v>198</v>
      </c>
      <c r="B112" s="15">
        <v>5.3</v>
      </c>
      <c r="C112" s="17" t="s">
        <v>163</v>
      </c>
      <c r="D112" s="18" t="s">
        <v>272</v>
      </c>
      <c r="E112" s="18" t="s">
        <v>273</v>
      </c>
      <c r="F112" s="19" t="s">
        <v>203</v>
      </c>
      <c r="G112" s="129">
        <v>89.99</v>
      </c>
      <c r="H112" s="130">
        <v>1</v>
      </c>
      <c r="I112" s="176">
        <v>1</v>
      </c>
      <c r="J112" s="131">
        <f>365/7*8</f>
        <v>417.14285714285717</v>
      </c>
      <c r="K112" s="132">
        <f t="shared" si="2"/>
        <v>0.21572945205479449</v>
      </c>
      <c r="L112" s="18" t="s">
        <v>623</v>
      </c>
      <c r="M112" s="14" t="s">
        <v>274</v>
      </c>
      <c r="N112" s="27"/>
    </row>
    <row r="113" spans="1:23" ht="56.25" x14ac:dyDescent="0.25">
      <c r="A113" s="18" t="s">
        <v>198</v>
      </c>
      <c r="B113" s="15">
        <v>5.6</v>
      </c>
      <c r="C113" s="17" t="s">
        <v>163</v>
      </c>
      <c r="D113" s="18" t="s">
        <v>272</v>
      </c>
      <c r="E113" s="20" t="s">
        <v>275</v>
      </c>
      <c r="F113" s="32" t="s">
        <v>28</v>
      </c>
      <c r="G113" s="125">
        <v>8</v>
      </c>
      <c r="H113" s="126">
        <v>1</v>
      </c>
      <c r="I113" s="126">
        <v>1</v>
      </c>
      <c r="J113" s="124">
        <f>365/7*5</f>
        <v>260.71428571428572</v>
      </c>
      <c r="K113" s="132">
        <f t="shared" si="2"/>
        <v>3.0684931506849315E-2</v>
      </c>
      <c r="L113" s="18" t="s">
        <v>624</v>
      </c>
      <c r="M113" s="14" t="s">
        <v>488</v>
      </c>
      <c r="N113" s="27"/>
    </row>
    <row r="114" spans="1:23" ht="45" x14ac:dyDescent="0.25">
      <c r="A114" s="20" t="s">
        <v>198</v>
      </c>
      <c r="B114" s="24">
        <v>5.6</v>
      </c>
      <c r="C114" s="18" t="s">
        <v>163</v>
      </c>
      <c r="D114" s="20" t="s">
        <v>272</v>
      </c>
      <c r="E114" s="20" t="s">
        <v>278</v>
      </c>
      <c r="F114" s="19" t="s">
        <v>29</v>
      </c>
      <c r="G114" s="129">
        <v>3.5</v>
      </c>
      <c r="H114" s="130">
        <v>4</v>
      </c>
      <c r="I114" s="130">
        <v>1</v>
      </c>
      <c r="J114" s="124">
        <v>6</v>
      </c>
      <c r="K114" s="132">
        <f t="shared" si="2"/>
        <v>0.58333333333333337</v>
      </c>
      <c r="L114" s="20" t="s">
        <v>625</v>
      </c>
      <c r="M114" s="14" t="s">
        <v>279</v>
      </c>
      <c r="N114" s="20"/>
    </row>
    <row r="115" spans="1:23" s="15" customFormat="1" ht="22.5" x14ac:dyDescent="0.25">
      <c r="A115" s="11" t="s">
        <v>1</v>
      </c>
      <c r="B115" s="11" t="s">
        <v>2</v>
      </c>
      <c r="C115" s="11" t="s">
        <v>3</v>
      </c>
      <c r="D115" s="12" t="s">
        <v>4</v>
      </c>
      <c r="E115" s="12" t="s">
        <v>5</v>
      </c>
      <c r="F115" s="12" t="s">
        <v>7</v>
      </c>
      <c r="G115" s="13" t="s">
        <v>8</v>
      </c>
      <c r="H115" s="13" t="s">
        <v>9</v>
      </c>
      <c r="I115" s="12" t="s">
        <v>10</v>
      </c>
      <c r="J115" s="12" t="s">
        <v>11</v>
      </c>
      <c r="K115" s="13" t="s">
        <v>54</v>
      </c>
      <c r="L115" s="13" t="s">
        <v>13</v>
      </c>
      <c r="M115" s="12" t="s">
        <v>14</v>
      </c>
      <c r="N115" s="98"/>
      <c r="O115" s="139"/>
      <c r="P115" s="139"/>
      <c r="Q115" s="139"/>
      <c r="R115" s="139"/>
      <c r="S115" s="139"/>
      <c r="T115" s="139"/>
      <c r="U115" s="139"/>
      <c r="V115" s="139"/>
      <c r="W115" s="139"/>
    </row>
    <row r="116" spans="1:23" ht="45" x14ac:dyDescent="0.25">
      <c r="A116" s="15" t="s">
        <v>198</v>
      </c>
      <c r="B116" s="15">
        <v>5.6</v>
      </c>
      <c r="C116" s="15" t="s">
        <v>163</v>
      </c>
      <c r="D116" s="15" t="s">
        <v>272</v>
      </c>
      <c r="E116" s="24" t="s">
        <v>489</v>
      </c>
      <c r="F116" s="25" t="s">
        <v>490</v>
      </c>
      <c r="G116" s="125">
        <v>1</v>
      </c>
      <c r="H116" s="126">
        <v>7</v>
      </c>
      <c r="I116" s="126">
        <v>1</v>
      </c>
      <c r="J116" s="124">
        <f>365/7</f>
        <v>52.142857142857146</v>
      </c>
      <c r="K116" s="132">
        <f t="shared" si="2"/>
        <v>1.9178082191780819E-2</v>
      </c>
      <c r="L116" s="15" t="s">
        <v>491</v>
      </c>
      <c r="M116" s="14" t="s">
        <v>492</v>
      </c>
      <c r="N116" s="15"/>
    </row>
    <row r="117" spans="1:23" ht="33.75" x14ac:dyDescent="0.25">
      <c r="A117" s="18" t="s">
        <v>198</v>
      </c>
      <c r="B117" s="15">
        <v>5.6</v>
      </c>
      <c r="C117" s="17" t="s">
        <v>163</v>
      </c>
      <c r="D117" s="18" t="s">
        <v>272</v>
      </c>
      <c r="E117" s="18" t="s">
        <v>281</v>
      </c>
      <c r="F117" s="19" t="s">
        <v>69</v>
      </c>
      <c r="G117" s="129">
        <v>4</v>
      </c>
      <c r="H117" s="130">
        <v>5</v>
      </c>
      <c r="I117" s="130">
        <v>1</v>
      </c>
      <c r="J117" s="131">
        <f>365/7</f>
        <v>52.142857142857146</v>
      </c>
      <c r="K117" s="132">
        <f t="shared" si="2"/>
        <v>7.6712328767123278E-2</v>
      </c>
      <c r="L117" s="18" t="s">
        <v>626</v>
      </c>
      <c r="M117" s="15" t="s">
        <v>493</v>
      </c>
      <c r="N117" s="18"/>
    </row>
    <row r="118" spans="1:23" ht="33.75" x14ac:dyDescent="0.25">
      <c r="A118" s="17" t="s">
        <v>198</v>
      </c>
      <c r="B118" s="17">
        <v>5.6</v>
      </c>
      <c r="C118" s="17" t="s">
        <v>163</v>
      </c>
      <c r="D118" s="18" t="s">
        <v>260</v>
      </c>
      <c r="E118" s="18" t="s">
        <v>283</v>
      </c>
      <c r="F118" s="19" t="s">
        <v>29</v>
      </c>
      <c r="G118" s="129">
        <v>2</v>
      </c>
      <c r="H118" s="130">
        <v>1</v>
      </c>
      <c r="I118" s="130">
        <v>1</v>
      </c>
      <c r="J118" s="124">
        <v>6</v>
      </c>
      <c r="K118" s="132">
        <f t="shared" si="2"/>
        <v>0.33333333333333331</v>
      </c>
      <c r="L118" s="18" t="s">
        <v>494</v>
      </c>
      <c r="M118" s="14" t="s">
        <v>495</v>
      </c>
      <c r="N118" s="18"/>
    </row>
    <row r="119" spans="1:23" ht="33.75" x14ac:dyDescent="0.25">
      <c r="A119" s="17" t="s">
        <v>198</v>
      </c>
      <c r="B119" s="17">
        <v>5.6</v>
      </c>
      <c r="C119" s="18" t="s">
        <v>163</v>
      </c>
      <c r="D119" s="18" t="s">
        <v>260</v>
      </c>
      <c r="E119" s="20" t="s">
        <v>496</v>
      </c>
      <c r="F119" s="32" t="s">
        <v>29</v>
      </c>
      <c r="G119" s="125">
        <v>0.9</v>
      </c>
      <c r="H119" s="126">
        <v>1</v>
      </c>
      <c r="I119" s="126">
        <v>1</v>
      </c>
      <c r="J119" s="124">
        <f>365/84</f>
        <v>4.3452380952380949</v>
      </c>
      <c r="K119" s="132">
        <f t="shared" si="2"/>
        <v>0.20712328767123289</v>
      </c>
      <c r="L119" s="18" t="s">
        <v>497</v>
      </c>
      <c r="M119" s="14" t="s">
        <v>287</v>
      </c>
      <c r="N119" s="18"/>
    </row>
    <row r="120" spans="1:23" ht="45" x14ac:dyDescent="0.25">
      <c r="A120" s="17" t="s">
        <v>198</v>
      </c>
      <c r="B120" s="17">
        <v>5.6</v>
      </c>
      <c r="C120" s="18" t="s">
        <v>163</v>
      </c>
      <c r="D120" s="18" t="s">
        <v>260</v>
      </c>
      <c r="E120" s="20" t="s">
        <v>498</v>
      </c>
      <c r="F120" s="32" t="s">
        <v>29</v>
      </c>
      <c r="G120" s="125">
        <v>4</v>
      </c>
      <c r="H120" s="126">
        <v>1</v>
      </c>
      <c r="I120" s="126">
        <v>1</v>
      </c>
      <c r="J120" s="124">
        <f>365/84*6</f>
        <v>26.071428571428569</v>
      </c>
      <c r="K120" s="132">
        <f t="shared" si="2"/>
        <v>0.15342465753424658</v>
      </c>
      <c r="L120" s="20" t="s">
        <v>499</v>
      </c>
      <c r="M120" s="14" t="s">
        <v>500</v>
      </c>
      <c r="N120" s="20"/>
    </row>
    <row r="121" spans="1:23" ht="45" x14ac:dyDescent="0.25">
      <c r="A121" s="17" t="s">
        <v>198</v>
      </c>
      <c r="B121" s="17">
        <v>5.6</v>
      </c>
      <c r="C121" s="18" t="s">
        <v>163</v>
      </c>
      <c r="D121" s="18" t="s">
        <v>260</v>
      </c>
      <c r="E121" s="20" t="s">
        <v>290</v>
      </c>
      <c r="F121" s="32" t="s">
        <v>29</v>
      </c>
      <c r="G121" s="125">
        <v>0.95</v>
      </c>
      <c r="H121" s="126">
        <v>1</v>
      </c>
      <c r="I121" s="126">
        <v>1</v>
      </c>
      <c r="J121" s="124">
        <v>4.3499999999999996</v>
      </c>
      <c r="K121" s="132">
        <f t="shared" si="2"/>
        <v>0.21839080459770116</v>
      </c>
      <c r="L121" s="20" t="s">
        <v>627</v>
      </c>
      <c r="M121" s="14" t="s">
        <v>501</v>
      </c>
      <c r="N121" s="37"/>
    </row>
    <row r="122" spans="1:23" ht="33.75" x14ac:dyDescent="0.25">
      <c r="A122" s="17" t="s">
        <v>198</v>
      </c>
      <c r="B122" s="17">
        <v>5.6</v>
      </c>
      <c r="C122" s="18" t="s">
        <v>163</v>
      </c>
      <c r="D122" s="18" t="s">
        <v>260</v>
      </c>
      <c r="E122" s="20" t="s">
        <v>502</v>
      </c>
      <c r="F122" s="32" t="s">
        <v>29</v>
      </c>
      <c r="G122" s="125">
        <v>1.65</v>
      </c>
      <c r="H122" s="126">
        <v>1</v>
      </c>
      <c r="I122" s="126">
        <v>1</v>
      </c>
      <c r="J122" s="124">
        <f>365/84*18</f>
        <v>78.214285714285708</v>
      </c>
      <c r="K122" s="132">
        <f>G122*I122/J122</f>
        <v>2.1095890410958905E-2</v>
      </c>
      <c r="L122" s="20" t="s">
        <v>1164</v>
      </c>
      <c r="M122" s="14" t="s">
        <v>503</v>
      </c>
      <c r="N122" s="20"/>
    </row>
    <row r="123" spans="1:23" ht="33.75" x14ac:dyDescent="0.25">
      <c r="A123" s="18" t="s">
        <v>198</v>
      </c>
      <c r="B123" s="15">
        <v>5.6</v>
      </c>
      <c r="C123" s="17" t="s">
        <v>163</v>
      </c>
      <c r="D123" s="18" t="s">
        <v>272</v>
      </c>
      <c r="E123" s="18" t="s">
        <v>276</v>
      </c>
      <c r="F123" s="19" t="s">
        <v>29</v>
      </c>
      <c r="G123" s="129">
        <v>0.4</v>
      </c>
      <c r="H123" s="130">
        <v>8</v>
      </c>
      <c r="I123" s="130">
        <v>1</v>
      </c>
      <c r="J123" s="131">
        <v>8</v>
      </c>
      <c r="K123" s="132">
        <f t="shared" si="2"/>
        <v>0.05</v>
      </c>
      <c r="L123" s="18" t="s">
        <v>504</v>
      </c>
      <c r="M123" s="173" t="s">
        <v>277</v>
      </c>
      <c r="N123" s="18"/>
    </row>
    <row r="124" spans="1:23" ht="22.5" x14ac:dyDescent="0.25">
      <c r="A124" s="18" t="s">
        <v>198</v>
      </c>
      <c r="B124" s="15">
        <v>5.6</v>
      </c>
      <c r="C124" s="17" t="s">
        <v>163</v>
      </c>
      <c r="D124" s="18" t="s">
        <v>272</v>
      </c>
      <c r="E124" s="20" t="s">
        <v>505</v>
      </c>
      <c r="F124" s="32" t="s">
        <v>29</v>
      </c>
      <c r="G124" s="125">
        <v>1</v>
      </c>
      <c r="H124" s="126">
        <v>5</v>
      </c>
      <c r="I124" s="126">
        <v>1</v>
      </c>
      <c r="J124" s="124">
        <v>5</v>
      </c>
      <c r="K124" s="132">
        <f t="shared" si="2"/>
        <v>0.2</v>
      </c>
      <c r="L124" s="18" t="s">
        <v>506</v>
      </c>
      <c r="M124" s="14" t="s">
        <v>507</v>
      </c>
      <c r="N124" s="18"/>
    </row>
    <row r="125" spans="1:23" ht="33.75" x14ac:dyDescent="0.25">
      <c r="A125" s="17" t="s">
        <v>198</v>
      </c>
      <c r="B125" s="17">
        <v>5.6</v>
      </c>
      <c r="C125" s="18" t="s">
        <v>163</v>
      </c>
      <c r="D125" s="20" t="s">
        <v>260</v>
      </c>
      <c r="E125" s="20" t="s">
        <v>286</v>
      </c>
      <c r="F125" s="19" t="s">
        <v>29</v>
      </c>
      <c r="G125" s="129">
        <v>1.3</v>
      </c>
      <c r="H125" s="130">
        <v>1</v>
      </c>
      <c r="I125" s="176">
        <v>1</v>
      </c>
      <c r="J125" s="124">
        <f>365/84*8</f>
        <v>34.761904761904759</v>
      </c>
      <c r="K125" s="132">
        <f t="shared" si="2"/>
        <v>3.739726027397261E-2</v>
      </c>
      <c r="L125" s="20" t="s">
        <v>1165</v>
      </c>
      <c r="M125" s="17" t="s">
        <v>508</v>
      </c>
      <c r="N125" s="20"/>
    </row>
    <row r="126" spans="1:23" ht="33.75" x14ac:dyDescent="0.25">
      <c r="A126" s="17" t="s">
        <v>198</v>
      </c>
      <c r="B126" s="17">
        <v>5.6</v>
      </c>
      <c r="C126" s="18" t="s">
        <v>163</v>
      </c>
      <c r="D126" s="20" t="s">
        <v>260</v>
      </c>
      <c r="E126" s="20" t="s">
        <v>284</v>
      </c>
      <c r="F126" s="19" t="s">
        <v>29</v>
      </c>
      <c r="G126" s="129">
        <v>1.35</v>
      </c>
      <c r="H126" s="130">
        <v>1</v>
      </c>
      <c r="I126" s="176">
        <v>1</v>
      </c>
      <c r="J126" s="124">
        <f>365/84*3</f>
        <v>13.035714285714285</v>
      </c>
      <c r="K126" s="132">
        <f t="shared" si="2"/>
        <v>0.10356164383561646</v>
      </c>
      <c r="L126" s="20" t="s">
        <v>509</v>
      </c>
      <c r="M126" s="14" t="s">
        <v>285</v>
      </c>
      <c r="N126" s="37"/>
    </row>
    <row r="127" spans="1:23" ht="33.75" x14ac:dyDescent="0.25">
      <c r="A127" s="17" t="s">
        <v>198</v>
      </c>
      <c r="B127" s="17">
        <v>5.6</v>
      </c>
      <c r="C127" s="18" t="s">
        <v>163</v>
      </c>
      <c r="D127" s="20" t="s">
        <v>260</v>
      </c>
      <c r="E127" s="20" t="s">
        <v>288</v>
      </c>
      <c r="F127" s="32" t="s">
        <v>29</v>
      </c>
      <c r="G127" s="125">
        <v>1</v>
      </c>
      <c r="H127" s="126">
        <v>1</v>
      </c>
      <c r="I127" s="126">
        <v>1</v>
      </c>
      <c r="J127" s="124">
        <f>365/84*3</f>
        <v>13.035714285714285</v>
      </c>
      <c r="K127" s="132">
        <f t="shared" si="2"/>
        <v>7.6712328767123292E-2</v>
      </c>
      <c r="L127" s="20" t="s">
        <v>510</v>
      </c>
      <c r="M127" s="14" t="s">
        <v>289</v>
      </c>
      <c r="N127" s="20"/>
    </row>
    <row r="128" spans="1:23" ht="33.75" x14ac:dyDescent="0.25">
      <c r="A128" s="17" t="s">
        <v>198</v>
      </c>
      <c r="B128" s="17">
        <v>5.5</v>
      </c>
      <c r="C128" s="18" t="s">
        <v>163</v>
      </c>
      <c r="D128" s="18" t="s">
        <v>511</v>
      </c>
      <c r="E128" s="20" t="s">
        <v>512</v>
      </c>
      <c r="F128" s="32" t="s">
        <v>203</v>
      </c>
      <c r="G128" s="125">
        <v>17</v>
      </c>
      <c r="H128" s="126">
        <v>40</v>
      </c>
      <c r="I128" s="126">
        <v>1</v>
      </c>
      <c r="J128" s="124">
        <f>365/7*20</f>
        <v>1042.8571428571429</v>
      </c>
      <c r="K128" s="132">
        <f t="shared" si="2"/>
        <v>1.6301369863013698E-2</v>
      </c>
      <c r="L128" s="20" t="s">
        <v>513</v>
      </c>
      <c r="M128" s="173" t="s">
        <v>514</v>
      </c>
      <c r="N128" s="20"/>
    </row>
    <row r="129" spans="1:23" s="15" customFormat="1" ht="22.5" x14ac:dyDescent="0.25">
      <c r="A129" s="11" t="s">
        <v>1</v>
      </c>
      <c r="B129" s="11" t="s">
        <v>2</v>
      </c>
      <c r="C129" s="11" t="s">
        <v>3</v>
      </c>
      <c r="D129" s="12" t="s">
        <v>4</v>
      </c>
      <c r="E129" s="12" t="s">
        <v>5</v>
      </c>
      <c r="F129" s="12" t="s">
        <v>7</v>
      </c>
      <c r="G129" s="13" t="s">
        <v>8</v>
      </c>
      <c r="H129" s="13" t="s">
        <v>9</v>
      </c>
      <c r="I129" s="12" t="s">
        <v>10</v>
      </c>
      <c r="J129" s="12" t="s">
        <v>11</v>
      </c>
      <c r="K129" s="13" t="s">
        <v>54</v>
      </c>
      <c r="L129" s="13" t="s">
        <v>13</v>
      </c>
      <c r="M129" s="12" t="s">
        <v>14</v>
      </c>
      <c r="N129" s="98"/>
      <c r="O129" s="139"/>
      <c r="P129" s="139"/>
      <c r="Q129" s="139"/>
      <c r="R129" s="139"/>
      <c r="S129" s="139"/>
      <c r="T129" s="139"/>
      <c r="U129" s="139"/>
      <c r="V129" s="139"/>
      <c r="W129" s="139"/>
    </row>
    <row r="130" spans="1:23" ht="67.5" x14ac:dyDescent="0.25">
      <c r="A130" s="17" t="s">
        <v>198</v>
      </c>
      <c r="B130" s="17">
        <v>5.6</v>
      </c>
      <c r="C130" s="18" t="s">
        <v>163</v>
      </c>
      <c r="D130" s="18" t="s">
        <v>511</v>
      </c>
      <c r="E130" s="20" t="s">
        <v>291</v>
      </c>
      <c r="F130" s="32" t="s">
        <v>28</v>
      </c>
      <c r="G130" s="125">
        <v>3.6</v>
      </c>
      <c r="H130" s="126">
        <v>1</v>
      </c>
      <c r="I130" s="126">
        <v>1</v>
      </c>
      <c r="J130" s="124">
        <f>365/7*5</f>
        <v>260.71428571428572</v>
      </c>
      <c r="K130" s="132">
        <f t="shared" si="2"/>
        <v>1.3808219178082191E-2</v>
      </c>
      <c r="L130" s="18" t="s">
        <v>515</v>
      </c>
      <c r="M130" s="14" t="s">
        <v>516</v>
      </c>
      <c r="N130" s="37"/>
    </row>
    <row r="131" spans="1:23" ht="33.75" x14ac:dyDescent="0.25">
      <c r="A131" s="17" t="s">
        <v>198</v>
      </c>
      <c r="B131" s="17">
        <v>5.6</v>
      </c>
      <c r="C131" s="18" t="s">
        <v>163</v>
      </c>
      <c r="D131" s="18" t="s">
        <v>511</v>
      </c>
      <c r="E131" s="20" t="s">
        <v>517</v>
      </c>
      <c r="F131" s="32" t="s">
        <v>28</v>
      </c>
      <c r="G131" s="125">
        <v>2.25</v>
      </c>
      <c r="H131" s="126">
        <v>1</v>
      </c>
      <c r="I131" s="126">
        <v>1</v>
      </c>
      <c r="J131" s="124">
        <f>365/7*5</f>
        <v>260.71428571428572</v>
      </c>
      <c r="K131" s="132">
        <f t="shared" si="2"/>
        <v>8.6301369863013688E-3</v>
      </c>
      <c r="L131" s="18" t="s">
        <v>518</v>
      </c>
      <c r="M131" s="43" t="s">
        <v>519</v>
      </c>
      <c r="N131" s="40"/>
    </row>
    <row r="132" spans="1:23" ht="22.5" x14ac:dyDescent="0.25">
      <c r="A132" s="17" t="s">
        <v>198</v>
      </c>
      <c r="B132" s="17">
        <v>5.5</v>
      </c>
      <c r="C132" s="18" t="s">
        <v>163</v>
      </c>
      <c r="D132" s="14" t="s">
        <v>292</v>
      </c>
      <c r="E132" s="14" t="s">
        <v>201</v>
      </c>
      <c r="F132" s="14" t="s">
        <v>28</v>
      </c>
      <c r="G132" s="132">
        <v>4.25</v>
      </c>
      <c r="H132" s="133">
        <v>1</v>
      </c>
      <c r="I132" s="175">
        <v>1</v>
      </c>
      <c r="J132" s="134">
        <f>365/7*2</f>
        <v>104.28571428571429</v>
      </c>
      <c r="K132" s="132">
        <f t="shared" si="2"/>
        <v>4.0753424657534246E-2</v>
      </c>
      <c r="L132" s="14" t="s">
        <v>373</v>
      </c>
      <c r="M132" s="45" t="s">
        <v>332</v>
      </c>
      <c r="N132" s="20"/>
    </row>
    <row r="133" spans="1:23" ht="33.75" x14ac:dyDescent="0.25">
      <c r="A133" s="18" t="s">
        <v>198</v>
      </c>
      <c r="B133" s="15">
        <v>5.0999999999999996</v>
      </c>
      <c r="C133" s="17" t="s">
        <v>163</v>
      </c>
      <c r="D133" s="33" t="s">
        <v>292</v>
      </c>
      <c r="E133" s="14" t="s">
        <v>224</v>
      </c>
      <c r="F133" s="14" t="s">
        <v>203</v>
      </c>
      <c r="G133" s="132">
        <v>14</v>
      </c>
      <c r="H133" s="133"/>
      <c r="I133" s="133">
        <v>1</v>
      </c>
      <c r="J133" s="134">
        <f>365/7*5</f>
        <v>260.71428571428572</v>
      </c>
      <c r="K133" s="132">
        <f t="shared" si="2"/>
        <v>5.3698630136986301E-2</v>
      </c>
      <c r="L133" s="14" t="s">
        <v>374</v>
      </c>
      <c r="M133" s="14" t="s">
        <v>225</v>
      </c>
      <c r="N133" s="28"/>
    </row>
    <row r="134" spans="1:23" ht="22.5" x14ac:dyDescent="0.25">
      <c r="A134" s="18" t="s">
        <v>198</v>
      </c>
      <c r="B134" s="15">
        <v>5.0999999999999996</v>
      </c>
      <c r="C134" s="18" t="s">
        <v>163</v>
      </c>
      <c r="D134" s="14" t="s">
        <v>292</v>
      </c>
      <c r="E134" s="14" t="s">
        <v>293</v>
      </c>
      <c r="F134" s="18" t="s">
        <v>216</v>
      </c>
      <c r="G134" s="129">
        <v>20</v>
      </c>
      <c r="H134" s="130">
        <v>1</v>
      </c>
      <c r="I134" s="130">
        <v>1</v>
      </c>
      <c r="J134" s="131">
        <f>365/7*20</f>
        <v>1042.8571428571429</v>
      </c>
      <c r="K134" s="132">
        <f t="shared" si="2"/>
        <v>1.9178082191780823E-2</v>
      </c>
      <c r="L134" s="18" t="s">
        <v>628</v>
      </c>
      <c r="M134" s="24" t="s">
        <v>520</v>
      </c>
      <c r="N134" s="18"/>
    </row>
    <row r="135" spans="1:23" x14ac:dyDescent="0.25">
      <c r="A135" s="18" t="s">
        <v>198</v>
      </c>
      <c r="B135" s="15">
        <v>5.6</v>
      </c>
      <c r="C135" s="18" t="s">
        <v>163</v>
      </c>
      <c r="D135" s="14" t="s">
        <v>292</v>
      </c>
      <c r="E135" s="14" t="s">
        <v>299</v>
      </c>
      <c r="F135" s="18" t="s">
        <v>29</v>
      </c>
      <c r="G135" s="129">
        <v>0.75</v>
      </c>
      <c r="H135" s="130">
        <v>1</v>
      </c>
      <c r="I135" s="130">
        <v>1</v>
      </c>
      <c r="J135" s="124">
        <f>365/7</f>
        <v>52.142857142857146</v>
      </c>
      <c r="K135" s="132">
        <f t="shared" si="2"/>
        <v>1.4383561643835616E-2</v>
      </c>
      <c r="L135" s="18" t="s">
        <v>629</v>
      </c>
      <c r="M135" s="15" t="s">
        <v>300</v>
      </c>
      <c r="N135" s="18"/>
    </row>
    <row r="136" spans="1:23" ht="22.5" x14ac:dyDescent="0.25">
      <c r="A136" s="18" t="s">
        <v>198</v>
      </c>
      <c r="B136" s="15">
        <v>5.2</v>
      </c>
      <c r="C136" s="18" t="s">
        <v>163</v>
      </c>
      <c r="D136" s="14" t="s">
        <v>292</v>
      </c>
      <c r="E136" s="14" t="s">
        <v>521</v>
      </c>
      <c r="F136" s="20" t="s">
        <v>209</v>
      </c>
      <c r="G136" s="125">
        <v>17</v>
      </c>
      <c r="H136" s="126">
        <v>1</v>
      </c>
      <c r="I136" s="126">
        <v>2</v>
      </c>
      <c r="J136" s="124">
        <f>365/7*5</f>
        <v>260.71428571428572</v>
      </c>
      <c r="K136" s="132">
        <f t="shared" si="2"/>
        <v>0.13041095890410959</v>
      </c>
      <c r="L136" s="18" t="s">
        <v>630</v>
      </c>
      <c r="M136" s="24" t="s">
        <v>522</v>
      </c>
      <c r="N136" s="18"/>
    </row>
    <row r="137" spans="1:23" ht="22.5" x14ac:dyDescent="0.25">
      <c r="A137" s="17" t="s">
        <v>198</v>
      </c>
      <c r="B137" s="17">
        <v>5.2</v>
      </c>
      <c r="C137" s="18" t="s">
        <v>163</v>
      </c>
      <c r="D137" s="14" t="s">
        <v>292</v>
      </c>
      <c r="E137" s="14" t="s">
        <v>282</v>
      </c>
      <c r="F137" s="20" t="s">
        <v>209</v>
      </c>
      <c r="G137" s="125">
        <v>5</v>
      </c>
      <c r="H137" s="126">
        <v>1</v>
      </c>
      <c r="I137" s="126">
        <v>2</v>
      </c>
      <c r="J137" s="124">
        <f>365/7*5</f>
        <v>260.71428571428572</v>
      </c>
      <c r="K137" s="132">
        <f t="shared" si="2"/>
        <v>3.8356164383561646E-2</v>
      </c>
      <c r="L137" s="18" t="s">
        <v>1169</v>
      </c>
      <c r="M137" s="24" t="s">
        <v>523</v>
      </c>
      <c r="N137" s="53"/>
    </row>
    <row r="138" spans="1:23" ht="22.5" x14ac:dyDescent="0.25">
      <c r="A138" s="18" t="s">
        <v>198</v>
      </c>
      <c r="B138" s="15">
        <v>5.2</v>
      </c>
      <c r="C138" s="18" t="s">
        <v>163</v>
      </c>
      <c r="D138" s="14" t="s">
        <v>292</v>
      </c>
      <c r="E138" s="14" t="s">
        <v>294</v>
      </c>
      <c r="F138" s="20" t="s">
        <v>209</v>
      </c>
      <c r="G138" s="125">
        <v>1.2</v>
      </c>
      <c r="H138" s="126">
        <v>1</v>
      </c>
      <c r="I138" s="126">
        <v>2</v>
      </c>
      <c r="J138" s="124">
        <f>365/7*5</f>
        <v>260.71428571428572</v>
      </c>
      <c r="K138" s="132">
        <f t="shared" si="2"/>
        <v>9.2054794520547937E-3</v>
      </c>
      <c r="L138" s="18" t="s">
        <v>631</v>
      </c>
      <c r="M138" s="24" t="s">
        <v>524</v>
      </c>
      <c r="N138" s="40"/>
    </row>
    <row r="139" spans="1:23" ht="22.5" x14ac:dyDescent="0.25">
      <c r="A139" s="17" t="s">
        <v>198</v>
      </c>
      <c r="B139" s="17">
        <v>5.2</v>
      </c>
      <c r="C139" s="18" t="s">
        <v>163</v>
      </c>
      <c r="D139" s="14" t="s">
        <v>292</v>
      </c>
      <c r="E139" s="14" t="s">
        <v>295</v>
      </c>
      <c r="F139" s="20" t="s">
        <v>69</v>
      </c>
      <c r="G139" s="125">
        <v>5</v>
      </c>
      <c r="H139" s="126">
        <v>1</v>
      </c>
      <c r="I139" s="126">
        <v>1</v>
      </c>
      <c r="J139" s="124">
        <f>365/7*5</f>
        <v>260.71428571428572</v>
      </c>
      <c r="K139" s="132">
        <f t="shared" si="2"/>
        <v>1.9178082191780823E-2</v>
      </c>
      <c r="L139" s="18" t="s">
        <v>1170</v>
      </c>
      <c r="M139" s="14" t="s">
        <v>525</v>
      </c>
      <c r="N139" s="18"/>
    </row>
    <row r="140" spans="1:23" ht="22.5" x14ac:dyDescent="0.25">
      <c r="A140" s="17" t="s">
        <v>198</v>
      </c>
      <c r="B140" s="17">
        <v>5.2</v>
      </c>
      <c r="C140" s="18" t="s">
        <v>163</v>
      </c>
      <c r="D140" s="14" t="s">
        <v>292</v>
      </c>
      <c r="E140" s="14" t="s">
        <v>526</v>
      </c>
      <c r="F140" s="20" t="s">
        <v>69</v>
      </c>
      <c r="G140" s="125">
        <v>4</v>
      </c>
      <c r="H140" s="126">
        <v>1</v>
      </c>
      <c r="I140" s="126">
        <v>1</v>
      </c>
      <c r="J140" s="124">
        <f>365/7*2</f>
        <v>104.28571428571429</v>
      </c>
      <c r="K140" s="132">
        <f t="shared" si="2"/>
        <v>3.8356164383561639E-2</v>
      </c>
      <c r="L140" s="18" t="s">
        <v>527</v>
      </c>
      <c r="M140" s="24" t="s">
        <v>528</v>
      </c>
      <c r="N140" s="18"/>
    </row>
    <row r="141" spans="1:23" ht="33.75" x14ac:dyDescent="0.25">
      <c r="A141" s="18" t="s">
        <v>198</v>
      </c>
      <c r="B141" s="15">
        <v>5.2</v>
      </c>
      <c r="C141" s="18" t="s">
        <v>163</v>
      </c>
      <c r="D141" s="14" t="s">
        <v>292</v>
      </c>
      <c r="E141" s="14" t="s">
        <v>296</v>
      </c>
      <c r="F141" s="20" t="s">
        <v>203</v>
      </c>
      <c r="G141" s="125">
        <v>6</v>
      </c>
      <c r="H141" s="126">
        <v>1</v>
      </c>
      <c r="I141" s="127">
        <v>2</v>
      </c>
      <c r="J141" s="124">
        <f>365/7*4</f>
        <v>208.57142857142858</v>
      </c>
      <c r="K141" s="132">
        <f t="shared" si="2"/>
        <v>5.7534246575342465E-2</v>
      </c>
      <c r="L141" s="20" t="s">
        <v>532</v>
      </c>
      <c r="M141" s="31" t="s">
        <v>297</v>
      </c>
      <c r="N141" s="18"/>
    </row>
    <row r="142" spans="1:23" ht="45" x14ac:dyDescent="0.25">
      <c r="A142" s="7" t="s">
        <v>198</v>
      </c>
      <c r="B142" s="17">
        <v>5.0999999999999996</v>
      </c>
      <c r="C142" s="17" t="s">
        <v>163</v>
      </c>
      <c r="D142" s="4" t="s">
        <v>292</v>
      </c>
      <c r="E142" s="4" t="s">
        <v>533</v>
      </c>
      <c r="F142" s="7" t="s">
        <v>203</v>
      </c>
      <c r="G142" s="132">
        <v>10</v>
      </c>
      <c r="H142" s="133">
        <v>1</v>
      </c>
      <c r="I142" s="133">
        <v>1</v>
      </c>
      <c r="J142" s="134">
        <f>365/7*5</f>
        <v>260.71428571428572</v>
      </c>
      <c r="K142" s="132">
        <f t="shared" si="2"/>
        <v>3.8356164383561646E-2</v>
      </c>
      <c r="L142" s="8" t="s">
        <v>534</v>
      </c>
      <c r="M142" s="31" t="s">
        <v>535</v>
      </c>
      <c r="N142" s="7"/>
    </row>
    <row r="143" spans="1:23" ht="33.75" x14ac:dyDescent="0.25">
      <c r="A143" s="18" t="s">
        <v>198</v>
      </c>
      <c r="B143" s="15">
        <v>5.4</v>
      </c>
      <c r="C143" s="18" t="s">
        <v>163</v>
      </c>
      <c r="D143" s="14" t="s">
        <v>292</v>
      </c>
      <c r="E143" s="20" t="s">
        <v>529</v>
      </c>
      <c r="F143" s="32" t="s">
        <v>203</v>
      </c>
      <c r="G143" s="125">
        <v>6</v>
      </c>
      <c r="H143" s="126">
        <v>1</v>
      </c>
      <c r="I143" s="126">
        <v>1</v>
      </c>
      <c r="J143" s="124">
        <f>365/7*10</f>
        <v>521.42857142857144</v>
      </c>
      <c r="K143" s="132">
        <f t="shared" si="2"/>
        <v>1.1506849315068493E-2</v>
      </c>
      <c r="L143" s="20" t="s">
        <v>530</v>
      </c>
      <c r="M143" s="14" t="s">
        <v>531</v>
      </c>
      <c r="N143" s="18"/>
    </row>
    <row r="144" spans="1:23" s="15" customFormat="1" ht="22.5" x14ac:dyDescent="0.25">
      <c r="A144" s="11" t="s">
        <v>1</v>
      </c>
      <c r="B144" s="11" t="s">
        <v>2</v>
      </c>
      <c r="C144" s="11" t="s">
        <v>3</v>
      </c>
      <c r="D144" s="12" t="s">
        <v>4</v>
      </c>
      <c r="E144" s="12" t="s">
        <v>5</v>
      </c>
      <c r="F144" s="12" t="s">
        <v>7</v>
      </c>
      <c r="G144" s="13" t="s">
        <v>8</v>
      </c>
      <c r="H144" s="13" t="s">
        <v>9</v>
      </c>
      <c r="I144" s="12" t="s">
        <v>10</v>
      </c>
      <c r="J144" s="12" t="s">
        <v>11</v>
      </c>
      <c r="K144" s="13" t="s">
        <v>54</v>
      </c>
      <c r="L144" s="13" t="s">
        <v>13</v>
      </c>
      <c r="M144" s="12" t="s">
        <v>14</v>
      </c>
      <c r="N144" s="98"/>
      <c r="O144" s="139"/>
      <c r="P144" s="139"/>
      <c r="Q144" s="139"/>
      <c r="R144" s="139"/>
      <c r="S144" s="139"/>
      <c r="T144" s="139"/>
      <c r="U144" s="139"/>
      <c r="V144" s="139"/>
      <c r="W144" s="139"/>
    </row>
    <row r="145" spans="1:23" ht="45" x14ac:dyDescent="0.25">
      <c r="A145" s="7" t="s">
        <v>198</v>
      </c>
      <c r="B145" s="17">
        <v>12.1</v>
      </c>
      <c r="C145" s="17" t="s">
        <v>163</v>
      </c>
      <c r="D145" s="4" t="s">
        <v>292</v>
      </c>
      <c r="E145" s="4" t="s">
        <v>257</v>
      </c>
      <c r="F145" s="7" t="s">
        <v>69</v>
      </c>
      <c r="G145" s="132">
        <v>12</v>
      </c>
      <c r="H145" s="133">
        <v>1</v>
      </c>
      <c r="I145" s="133">
        <v>1</v>
      </c>
      <c r="J145" s="134">
        <f>365/7*20</f>
        <v>1042.8571428571429</v>
      </c>
      <c r="K145" s="132">
        <f t="shared" si="2"/>
        <v>1.1506849315068493E-2</v>
      </c>
      <c r="L145" s="8" t="s">
        <v>632</v>
      </c>
      <c r="M145" s="38" t="s">
        <v>302</v>
      </c>
      <c r="N145" s="7"/>
    </row>
    <row r="146" spans="1:23" x14ac:dyDescent="0.25">
      <c r="A146" s="7" t="s">
        <v>198</v>
      </c>
      <c r="B146" s="17">
        <v>5.6</v>
      </c>
      <c r="C146" s="17" t="s">
        <v>163</v>
      </c>
      <c r="D146" s="14" t="s">
        <v>292</v>
      </c>
      <c r="E146" s="14" t="s">
        <v>301</v>
      </c>
      <c r="F146" s="7" t="s">
        <v>28</v>
      </c>
      <c r="G146" s="132">
        <v>1.2</v>
      </c>
      <c r="H146" s="133">
        <v>1</v>
      </c>
      <c r="I146" s="133">
        <v>1</v>
      </c>
      <c r="J146" s="134">
        <f>365/7</f>
        <v>52.142857142857146</v>
      </c>
      <c r="K146" s="132">
        <f t="shared" si="2"/>
        <v>2.3013698630136983E-2</v>
      </c>
      <c r="L146" s="8" t="s">
        <v>536</v>
      </c>
      <c r="M146" s="14" t="s">
        <v>537</v>
      </c>
      <c r="N146" s="7"/>
    </row>
    <row r="147" spans="1:23" ht="22.5" x14ac:dyDescent="0.25">
      <c r="A147" s="18" t="s">
        <v>198</v>
      </c>
      <c r="B147" s="15">
        <v>5.6</v>
      </c>
      <c r="C147" s="17" t="s">
        <v>163</v>
      </c>
      <c r="D147" s="14" t="s">
        <v>292</v>
      </c>
      <c r="E147" s="18" t="s">
        <v>298</v>
      </c>
      <c r="F147" s="7" t="s">
        <v>29</v>
      </c>
      <c r="G147" s="129">
        <v>0.45</v>
      </c>
      <c r="H147" s="130">
        <v>1</v>
      </c>
      <c r="I147" s="130">
        <v>1</v>
      </c>
      <c r="J147" s="131">
        <f>365/84*2</f>
        <v>8.6904761904761898</v>
      </c>
      <c r="K147" s="132">
        <f t="shared" si="2"/>
        <v>5.1780821917808223E-2</v>
      </c>
      <c r="L147" s="18" t="s">
        <v>538</v>
      </c>
      <c r="M147" s="14" t="s">
        <v>539</v>
      </c>
      <c r="N147" s="18"/>
    </row>
    <row r="148" spans="1:23" ht="22.5" x14ac:dyDescent="0.25">
      <c r="A148" s="7" t="s">
        <v>198</v>
      </c>
      <c r="B148" s="17">
        <v>5.6</v>
      </c>
      <c r="C148" s="17" t="s">
        <v>163</v>
      </c>
      <c r="D148" s="4" t="s">
        <v>292</v>
      </c>
      <c r="E148" s="20" t="s">
        <v>290</v>
      </c>
      <c r="F148" s="32" t="s">
        <v>29</v>
      </c>
      <c r="G148" s="125">
        <v>0.95</v>
      </c>
      <c r="H148" s="126">
        <v>1</v>
      </c>
      <c r="I148" s="126">
        <v>1</v>
      </c>
      <c r="J148" s="124">
        <v>2</v>
      </c>
      <c r="K148" s="132">
        <f t="shared" si="2"/>
        <v>0.47499999999999998</v>
      </c>
      <c r="L148" s="8" t="s">
        <v>633</v>
      </c>
      <c r="M148" s="14" t="s">
        <v>501</v>
      </c>
      <c r="N148" s="18"/>
    </row>
    <row r="149" spans="1:23" ht="22.5" x14ac:dyDescent="0.25">
      <c r="A149" s="17" t="s">
        <v>198</v>
      </c>
      <c r="B149" s="17">
        <v>5.6</v>
      </c>
      <c r="C149" s="17" t="s">
        <v>163</v>
      </c>
      <c r="D149" s="14" t="s">
        <v>292</v>
      </c>
      <c r="E149" s="14" t="s">
        <v>540</v>
      </c>
      <c r="F149" s="7" t="s">
        <v>29</v>
      </c>
      <c r="G149" s="129">
        <v>0.9</v>
      </c>
      <c r="H149" s="130">
        <v>1</v>
      </c>
      <c r="I149" s="130">
        <v>1</v>
      </c>
      <c r="J149" s="131">
        <f>365/84*2</f>
        <v>8.6904761904761898</v>
      </c>
      <c r="K149" s="132">
        <f t="shared" si="2"/>
        <v>0.10356164383561645</v>
      </c>
      <c r="L149" s="18" t="s">
        <v>538</v>
      </c>
      <c r="M149" s="14" t="s">
        <v>541</v>
      </c>
      <c r="N149" s="18"/>
    </row>
    <row r="150" spans="1:23" ht="45" x14ac:dyDescent="0.25">
      <c r="A150" s="20" t="s">
        <v>198</v>
      </c>
      <c r="B150" s="24">
        <v>5.4</v>
      </c>
      <c r="C150" s="17" t="s">
        <v>163</v>
      </c>
      <c r="D150" s="14" t="s">
        <v>292</v>
      </c>
      <c r="E150" s="14" t="s">
        <v>215</v>
      </c>
      <c r="F150" s="20" t="s">
        <v>28</v>
      </c>
      <c r="G150" s="125">
        <v>5.5</v>
      </c>
      <c r="H150" s="126">
        <v>1</v>
      </c>
      <c r="I150" s="126">
        <v>1</v>
      </c>
      <c r="J150" s="124">
        <f>365/7*5</f>
        <v>260.71428571428572</v>
      </c>
      <c r="K150" s="132">
        <f t="shared" si="2"/>
        <v>2.1095890410958905E-2</v>
      </c>
      <c r="L150" s="20" t="s">
        <v>542</v>
      </c>
      <c r="M150" s="45" t="s">
        <v>543</v>
      </c>
      <c r="N150" s="20"/>
    </row>
    <row r="151" spans="1:23" x14ac:dyDescent="0.25">
      <c r="A151" s="20" t="s">
        <v>198</v>
      </c>
      <c r="B151" s="24">
        <v>5.6</v>
      </c>
      <c r="C151" s="17" t="s">
        <v>163</v>
      </c>
      <c r="D151" s="14" t="s">
        <v>292</v>
      </c>
      <c r="E151" s="14" t="s">
        <v>261</v>
      </c>
      <c r="F151" s="20" t="s">
        <v>28</v>
      </c>
      <c r="G151" s="125">
        <v>1</v>
      </c>
      <c r="H151" s="126">
        <v>50</v>
      </c>
      <c r="I151" s="126">
        <v>1</v>
      </c>
      <c r="J151" s="124">
        <v>50</v>
      </c>
      <c r="K151" s="132">
        <f t="shared" si="2"/>
        <v>0.02</v>
      </c>
      <c r="L151" s="20" t="s">
        <v>544</v>
      </c>
      <c r="M151" s="14" t="s">
        <v>545</v>
      </c>
      <c r="N151" s="37"/>
    </row>
    <row r="152" spans="1:23" ht="45" x14ac:dyDescent="0.25">
      <c r="A152" s="18" t="s">
        <v>198</v>
      </c>
      <c r="B152" s="15">
        <v>5.0999999999999996</v>
      </c>
      <c r="C152" s="18" t="s">
        <v>163</v>
      </c>
      <c r="D152" s="14" t="s">
        <v>304</v>
      </c>
      <c r="E152" s="14" t="s">
        <v>200</v>
      </c>
      <c r="F152" s="14" t="s">
        <v>209</v>
      </c>
      <c r="G152" s="132">
        <v>25</v>
      </c>
      <c r="H152" s="133">
        <v>1</v>
      </c>
      <c r="I152" s="175">
        <v>1</v>
      </c>
      <c r="J152" s="134">
        <f>365/7*10</f>
        <v>521.42857142857144</v>
      </c>
      <c r="K152" s="132">
        <f t="shared" si="2"/>
        <v>4.7945205479452052E-2</v>
      </c>
      <c r="L152" s="14" t="s">
        <v>634</v>
      </c>
      <c r="M152" s="24" t="s">
        <v>330</v>
      </c>
      <c r="N152" s="18"/>
    </row>
    <row r="153" spans="1:23" ht="22.5" x14ac:dyDescent="0.25">
      <c r="A153" s="17" t="s">
        <v>198</v>
      </c>
      <c r="B153" s="17">
        <v>5.5</v>
      </c>
      <c r="C153" s="18" t="s">
        <v>163</v>
      </c>
      <c r="D153" s="14" t="s">
        <v>304</v>
      </c>
      <c r="E153" s="14" t="s">
        <v>201</v>
      </c>
      <c r="F153" s="14" t="s">
        <v>28</v>
      </c>
      <c r="G153" s="132">
        <v>4.25</v>
      </c>
      <c r="H153" s="133">
        <v>1</v>
      </c>
      <c r="I153" s="175">
        <v>1</v>
      </c>
      <c r="J153" s="134">
        <f>365/7*2</f>
        <v>104.28571428571429</v>
      </c>
      <c r="K153" s="132">
        <f t="shared" si="2"/>
        <v>4.0753424657534246E-2</v>
      </c>
      <c r="L153" s="14" t="s">
        <v>331</v>
      </c>
      <c r="M153" s="45" t="s">
        <v>332</v>
      </c>
      <c r="N153" s="20"/>
    </row>
    <row r="154" spans="1:23" ht="67.5" x14ac:dyDescent="0.25">
      <c r="A154" s="18" t="s">
        <v>198</v>
      </c>
      <c r="B154" s="15">
        <v>5.2</v>
      </c>
      <c r="C154" s="17" t="s">
        <v>163</v>
      </c>
      <c r="D154" s="14" t="s">
        <v>304</v>
      </c>
      <c r="E154" s="14" t="s">
        <v>207</v>
      </c>
      <c r="F154" s="17" t="s">
        <v>28</v>
      </c>
      <c r="G154" s="132">
        <v>65</v>
      </c>
      <c r="H154" s="133">
        <v>2</v>
      </c>
      <c r="I154" s="133">
        <v>1</v>
      </c>
      <c r="J154" s="134">
        <f>365/7*10</f>
        <v>521.42857142857144</v>
      </c>
      <c r="K154" s="132">
        <f t="shared" si="2"/>
        <v>0.12465753424657534</v>
      </c>
      <c r="L154" s="14" t="s">
        <v>339</v>
      </c>
      <c r="M154" s="14" t="s">
        <v>340</v>
      </c>
      <c r="N154" s="14"/>
    </row>
    <row r="155" spans="1:23" ht="33.75" x14ac:dyDescent="0.25">
      <c r="A155" s="17" t="s">
        <v>198</v>
      </c>
      <c r="B155" s="17">
        <v>5.5</v>
      </c>
      <c r="C155" s="17" t="s">
        <v>163</v>
      </c>
      <c r="D155" s="14" t="s">
        <v>303</v>
      </c>
      <c r="E155" s="14" t="s">
        <v>208</v>
      </c>
      <c r="F155" s="14" t="s">
        <v>28</v>
      </c>
      <c r="G155" s="132">
        <v>24</v>
      </c>
      <c r="H155" s="133">
        <v>1</v>
      </c>
      <c r="I155" s="133">
        <v>1</v>
      </c>
      <c r="J155" s="134">
        <f>365/7*20</f>
        <v>1042.8571428571429</v>
      </c>
      <c r="K155" s="132">
        <f t="shared" si="2"/>
        <v>2.3013698630136987E-2</v>
      </c>
      <c r="L155" s="14" t="s">
        <v>341</v>
      </c>
      <c r="M155" s="45" t="s">
        <v>342</v>
      </c>
      <c r="N155" s="14"/>
    </row>
    <row r="156" spans="1:23" ht="33.75" x14ac:dyDescent="0.25">
      <c r="A156" s="18" t="s">
        <v>198</v>
      </c>
      <c r="B156" s="15">
        <v>5.2</v>
      </c>
      <c r="C156" s="17" t="s">
        <v>163</v>
      </c>
      <c r="D156" s="14" t="s">
        <v>304</v>
      </c>
      <c r="E156" s="14" t="s">
        <v>343</v>
      </c>
      <c r="F156" s="14" t="s">
        <v>28</v>
      </c>
      <c r="G156" s="132">
        <v>7</v>
      </c>
      <c r="H156" s="133">
        <v>1</v>
      </c>
      <c r="I156" s="175">
        <v>2</v>
      </c>
      <c r="J156" s="134">
        <f>365/7*7</f>
        <v>365</v>
      </c>
      <c r="K156" s="132">
        <f t="shared" si="2"/>
        <v>3.8356164383561646E-2</v>
      </c>
      <c r="L156" s="14" t="s">
        <v>344</v>
      </c>
      <c r="M156" s="14" t="s">
        <v>1167</v>
      </c>
      <c r="N156" s="14"/>
    </row>
    <row r="157" spans="1:23" ht="22.5" x14ac:dyDescent="0.25">
      <c r="A157" s="17" t="s">
        <v>198</v>
      </c>
      <c r="B157" s="17">
        <v>5.5</v>
      </c>
      <c r="C157" s="17" t="s">
        <v>163</v>
      </c>
      <c r="D157" s="14" t="s">
        <v>304</v>
      </c>
      <c r="E157" s="14" t="s">
        <v>210</v>
      </c>
      <c r="F157" s="14" t="s">
        <v>28</v>
      </c>
      <c r="G157" s="132">
        <v>1.5</v>
      </c>
      <c r="H157" s="133">
        <v>1</v>
      </c>
      <c r="I157" s="133">
        <v>1</v>
      </c>
      <c r="J157" s="134">
        <f>365/7*7</f>
        <v>365</v>
      </c>
      <c r="K157" s="132">
        <f t="shared" ref="K157" si="3">G157*I157/J157</f>
        <v>4.10958904109589E-3</v>
      </c>
      <c r="L157" s="14" t="s">
        <v>592</v>
      </c>
      <c r="M157" s="14" t="s">
        <v>211</v>
      </c>
      <c r="N157" s="17"/>
    </row>
    <row r="158" spans="1:23" ht="45" x14ac:dyDescent="0.25">
      <c r="A158" s="17" t="s">
        <v>198</v>
      </c>
      <c r="B158" s="17">
        <v>5.0999999999999996</v>
      </c>
      <c r="C158" s="17" t="s">
        <v>163</v>
      </c>
      <c r="D158" s="18" t="s">
        <v>303</v>
      </c>
      <c r="E158" s="20" t="s">
        <v>305</v>
      </c>
      <c r="F158" s="20" t="s">
        <v>307</v>
      </c>
      <c r="G158" s="125">
        <v>300</v>
      </c>
      <c r="H158" s="126"/>
      <c r="I158" s="126">
        <v>1</v>
      </c>
      <c r="J158" s="134">
        <f>365/7*20</f>
        <v>1042.8571428571429</v>
      </c>
      <c r="K158" s="132">
        <f>G158*I158/J158</f>
        <v>0.28767123287671231</v>
      </c>
      <c r="L158" s="18" t="s">
        <v>635</v>
      </c>
      <c r="M158" s="24" t="s">
        <v>546</v>
      </c>
      <c r="N158" s="20"/>
    </row>
    <row r="159" spans="1:23" ht="56.25" x14ac:dyDescent="0.25">
      <c r="A159" s="34" t="s">
        <v>198</v>
      </c>
      <c r="B159" s="34">
        <v>5.0999999999999996</v>
      </c>
      <c r="C159" s="17" t="s">
        <v>163</v>
      </c>
      <c r="D159" s="18" t="s">
        <v>303</v>
      </c>
      <c r="E159" s="18" t="s">
        <v>547</v>
      </c>
      <c r="F159" s="14" t="s">
        <v>307</v>
      </c>
      <c r="G159" s="125">
        <v>149</v>
      </c>
      <c r="H159" s="130">
        <v>1</v>
      </c>
      <c r="I159" s="130">
        <v>1</v>
      </c>
      <c r="J159" s="131">
        <f>365/7*20</f>
        <v>1042.8571428571429</v>
      </c>
      <c r="K159" s="132">
        <f>G159*I159/J159</f>
        <v>0.14287671232876711</v>
      </c>
      <c r="L159" s="18" t="s">
        <v>636</v>
      </c>
      <c r="M159" s="14" t="s">
        <v>548</v>
      </c>
      <c r="N159" s="20"/>
    </row>
    <row r="160" spans="1:23" s="15" customFormat="1" ht="22.5" x14ac:dyDescent="0.25">
      <c r="A160" s="11" t="s">
        <v>1</v>
      </c>
      <c r="B160" s="11" t="s">
        <v>2</v>
      </c>
      <c r="C160" s="11" t="s">
        <v>3</v>
      </c>
      <c r="D160" s="12" t="s">
        <v>4</v>
      </c>
      <c r="E160" s="12" t="s">
        <v>5</v>
      </c>
      <c r="F160" s="12" t="s">
        <v>7</v>
      </c>
      <c r="G160" s="13" t="s">
        <v>8</v>
      </c>
      <c r="H160" s="13" t="s">
        <v>9</v>
      </c>
      <c r="I160" s="12" t="s">
        <v>10</v>
      </c>
      <c r="J160" s="12" t="s">
        <v>11</v>
      </c>
      <c r="K160" s="13" t="s">
        <v>54</v>
      </c>
      <c r="L160" s="13" t="s">
        <v>13</v>
      </c>
      <c r="M160" s="12" t="s">
        <v>14</v>
      </c>
      <c r="N160" s="98"/>
      <c r="O160" s="139"/>
      <c r="P160" s="139"/>
      <c r="Q160" s="139"/>
      <c r="R160" s="139"/>
      <c r="S160" s="139"/>
      <c r="T160" s="139"/>
      <c r="U160" s="139"/>
      <c r="V160" s="139"/>
      <c r="W160" s="139"/>
    </row>
    <row r="161" spans="1:23" ht="33.75" x14ac:dyDescent="0.25">
      <c r="A161" s="17" t="s">
        <v>198</v>
      </c>
      <c r="B161" s="17">
        <v>5.0999999999999996</v>
      </c>
      <c r="C161" s="17" t="s">
        <v>163</v>
      </c>
      <c r="D161" s="18" t="s">
        <v>303</v>
      </c>
      <c r="E161" s="18" t="s">
        <v>306</v>
      </c>
      <c r="F161" s="14" t="s">
        <v>307</v>
      </c>
      <c r="G161" s="125">
        <v>599</v>
      </c>
      <c r="H161" s="130">
        <v>1</v>
      </c>
      <c r="I161" s="130">
        <v>1</v>
      </c>
      <c r="J161" s="131">
        <f>365/7*8</f>
        <v>417.14285714285717</v>
      </c>
      <c r="K161" s="132">
        <f>G161*I161/J161</f>
        <v>1.435958904109589</v>
      </c>
      <c r="L161" s="18" t="s">
        <v>637</v>
      </c>
      <c r="M161" s="14" t="s">
        <v>549</v>
      </c>
      <c r="N161" s="48"/>
    </row>
    <row r="162" spans="1:23" ht="56.25" x14ac:dyDescent="0.25">
      <c r="A162" s="17" t="s">
        <v>198</v>
      </c>
      <c r="B162" s="17">
        <v>5.0999999999999996</v>
      </c>
      <c r="C162" s="17" t="s">
        <v>163</v>
      </c>
      <c r="D162" s="18" t="s">
        <v>303</v>
      </c>
      <c r="E162" s="18" t="s">
        <v>309</v>
      </c>
      <c r="F162" s="14" t="s">
        <v>203</v>
      </c>
      <c r="G162" s="125">
        <v>325</v>
      </c>
      <c r="H162" s="130">
        <v>1</v>
      </c>
      <c r="I162" s="130">
        <v>1</v>
      </c>
      <c r="J162" s="131">
        <f>365/7*20</f>
        <v>1042.8571428571429</v>
      </c>
      <c r="K162" s="132">
        <f>G162*I162/J162</f>
        <v>0.31164383561643832</v>
      </c>
      <c r="L162" s="18" t="s">
        <v>638</v>
      </c>
      <c r="M162" s="14" t="s">
        <v>550</v>
      </c>
      <c r="N162" s="18"/>
    </row>
    <row r="163" spans="1:23" ht="56.25" x14ac:dyDescent="0.25">
      <c r="A163" s="17" t="s">
        <v>198</v>
      </c>
      <c r="B163" s="17">
        <v>5.0999999999999996</v>
      </c>
      <c r="C163" s="17" t="s">
        <v>163</v>
      </c>
      <c r="D163" s="18" t="s">
        <v>303</v>
      </c>
      <c r="E163" s="18" t="s">
        <v>310</v>
      </c>
      <c r="F163" s="14" t="s">
        <v>203</v>
      </c>
      <c r="G163" s="125">
        <v>240</v>
      </c>
      <c r="H163" s="130">
        <v>1</v>
      </c>
      <c r="I163" s="130">
        <v>1</v>
      </c>
      <c r="J163" s="131">
        <f>365/7*20</f>
        <v>1042.8571428571429</v>
      </c>
      <c r="K163" s="132">
        <f>G163*I163/J163</f>
        <v>0.23013698630136986</v>
      </c>
      <c r="L163" s="18" t="s">
        <v>639</v>
      </c>
      <c r="M163" s="14" t="s">
        <v>551</v>
      </c>
      <c r="N163" s="18"/>
    </row>
    <row r="164" spans="1:23" ht="90" x14ac:dyDescent="0.25">
      <c r="A164" s="34" t="s">
        <v>198</v>
      </c>
      <c r="B164" s="34">
        <v>5.0999999999999996</v>
      </c>
      <c r="C164" s="17" t="s">
        <v>163</v>
      </c>
      <c r="D164" s="18" t="s">
        <v>303</v>
      </c>
      <c r="E164" s="18" t="s">
        <v>311</v>
      </c>
      <c r="F164" s="14" t="s">
        <v>203</v>
      </c>
      <c r="G164" s="125">
        <v>130</v>
      </c>
      <c r="H164" s="130">
        <v>1</v>
      </c>
      <c r="I164" s="130">
        <v>2</v>
      </c>
      <c r="J164" s="131">
        <f>365/7*20</f>
        <v>1042.8571428571429</v>
      </c>
      <c r="K164" s="132">
        <f t="shared" ref="K164:K182" si="4">G164*I164/J164</f>
        <v>0.24931506849315069</v>
      </c>
      <c r="L164" s="18" t="s">
        <v>640</v>
      </c>
      <c r="M164" s="14" t="s">
        <v>552</v>
      </c>
      <c r="N164" s="18"/>
    </row>
    <row r="165" spans="1:23" ht="33.75" x14ac:dyDescent="0.25">
      <c r="A165" s="17" t="s">
        <v>198</v>
      </c>
      <c r="B165" s="17">
        <v>5.0999999999999996</v>
      </c>
      <c r="C165" s="17" t="s">
        <v>163</v>
      </c>
      <c r="D165" s="18" t="s">
        <v>303</v>
      </c>
      <c r="E165" s="20" t="s">
        <v>556</v>
      </c>
      <c r="F165" s="20" t="s">
        <v>209</v>
      </c>
      <c r="G165" s="125">
        <v>10</v>
      </c>
      <c r="H165" s="126">
        <v>1</v>
      </c>
      <c r="I165" s="126">
        <v>1</v>
      </c>
      <c r="J165" s="124">
        <f>365/7*20</f>
        <v>1042.8571428571429</v>
      </c>
      <c r="K165" s="132">
        <f t="shared" si="4"/>
        <v>9.5890410958904115E-3</v>
      </c>
      <c r="L165" s="18" t="s">
        <v>641</v>
      </c>
      <c r="M165" s="14" t="s">
        <v>557</v>
      </c>
      <c r="N165" s="18"/>
    </row>
    <row r="166" spans="1:23" ht="56.25" x14ac:dyDescent="0.25">
      <c r="A166" s="17" t="s">
        <v>198</v>
      </c>
      <c r="B166" s="17">
        <v>5.0999999999999996</v>
      </c>
      <c r="C166" s="17" t="s">
        <v>163</v>
      </c>
      <c r="D166" s="18" t="s">
        <v>303</v>
      </c>
      <c r="E166" s="18" t="s">
        <v>312</v>
      </c>
      <c r="F166" s="18" t="s">
        <v>28</v>
      </c>
      <c r="G166" s="129">
        <v>10</v>
      </c>
      <c r="H166" s="130">
        <v>1</v>
      </c>
      <c r="I166" s="130">
        <v>2</v>
      </c>
      <c r="J166" s="131">
        <f>365/7*10</f>
        <v>521.42857142857144</v>
      </c>
      <c r="K166" s="132">
        <f t="shared" si="4"/>
        <v>3.8356164383561646E-2</v>
      </c>
      <c r="L166" s="18" t="s">
        <v>642</v>
      </c>
      <c r="M166" s="14" t="s">
        <v>558</v>
      </c>
      <c r="N166" s="18"/>
    </row>
    <row r="167" spans="1:23" ht="33.75" x14ac:dyDescent="0.25">
      <c r="A167" s="17" t="s">
        <v>198</v>
      </c>
      <c r="B167" s="17">
        <v>5.0999999999999996</v>
      </c>
      <c r="C167" s="17" t="s">
        <v>163</v>
      </c>
      <c r="D167" s="18" t="s">
        <v>303</v>
      </c>
      <c r="E167" s="36" t="s">
        <v>559</v>
      </c>
      <c r="F167" s="14" t="s">
        <v>209</v>
      </c>
      <c r="G167" s="129">
        <v>69</v>
      </c>
      <c r="H167" s="130">
        <v>1</v>
      </c>
      <c r="I167" s="130">
        <v>1</v>
      </c>
      <c r="J167" s="131">
        <f>365/7*20</f>
        <v>1042.8571428571429</v>
      </c>
      <c r="K167" s="132">
        <f t="shared" si="4"/>
        <v>6.6164383561643836E-2</v>
      </c>
      <c r="L167" s="18" t="s">
        <v>643</v>
      </c>
      <c r="M167" s="14" t="s">
        <v>560</v>
      </c>
      <c r="N167" s="18"/>
    </row>
    <row r="168" spans="1:23" ht="45" x14ac:dyDescent="0.25">
      <c r="A168" s="17" t="s">
        <v>198</v>
      </c>
      <c r="B168" s="17">
        <v>5.2</v>
      </c>
      <c r="C168" s="17" t="s">
        <v>163</v>
      </c>
      <c r="D168" s="18" t="s">
        <v>303</v>
      </c>
      <c r="E168" s="18" t="s">
        <v>313</v>
      </c>
      <c r="F168" s="20" t="s">
        <v>69</v>
      </c>
      <c r="G168" s="125">
        <v>25</v>
      </c>
      <c r="H168" s="126">
        <v>1</v>
      </c>
      <c r="I168" s="126">
        <v>1</v>
      </c>
      <c r="J168" s="131">
        <f>365/7*8</f>
        <v>417.14285714285717</v>
      </c>
      <c r="K168" s="132">
        <f t="shared" si="4"/>
        <v>5.9931506849315065E-2</v>
      </c>
      <c r="L168" s="18" t="s">
        <v>561</v>
      </c>
      <c r="M168" s="14" t="s">
        <v>562</v>
      </c>
      <c r="N168" s="20"/>
    </row>
    <row r="169" spans="1:23" ht="67.5" x14ac:dyDescent="0.25">
      <c r="A169" s="34" t="s">
        <v>198</v>
      </c>
      <c r="B169" s="34">
        <v>5.2</v>
      </c>
      <c r="C169" s="17" t="s">
        <v>163</v>
      </c>
      <c r="D169" s="18" t="s">
        <v>303</v>
      </c>
      <c r="E169" s="18" t="s">
        <v>563</v>
      </c>
      <c r="F169" s="14" t="s">
        <v>28</v>
      </c>
      <c r="G169" s="132">
        <v>13</v>
      </c>
      <c r="H169" s="133">
        <v>1</v>
      </c>
      <c r="I169" s="133">
        <v>1</v>
      </c>
      <c r="J169" s="124">
        <f>365/7*16</f>
        <v>834.28571428571433</v>
      </c>
      <c r="K169" s="132">
        <f t="shared" si="4"/>
        <v>1.5582191780821916E-2</v>
      </c>
      <c r="L169" s="18" t="s">
        <v>644</v>
      </c>
      <c r="M169" s="14" t="s">
        <v>564</v>
      </c>
      <c r="N169" s="20"/>
    </row>
    <row r="170" spans="1:23" s="15" customFormat="1" ht="22.5" x14ac:dyDescent="0.25">
      <c r="A170" s="11" t="s">
        <v>1</v>
      </c>
      <c r="B170" s="11" t="s">
        <v>2</v>
      </c>
      <c r="C170" s="11" t="s">
        <v>3</v>
      </c>
      <c r="D170" s="12" t="s">
        <v>4</v>
      </c>
      <c r="E170" s="12" t="s">
        <v>5</v>
      </c>
      <c r="F170" s="12" t="s">
        <v>7</v>
      </c>
      <c r="G170" s="13" t="s">
        <v>8</v>
      </c>
      <c r="H170" s="13" t="s">
        <v>9</v>
      </c>
      <c r="I170" s="12" t="s">
        <v>10</v>
      </c>
      <c r="J170" s="12" t="s">
        <v>11</v>
      </c>
      <c r="K170" s="13" t="s">
        <v>54</v>
      </c>
      <c r="L170" s="13" t="s">
        <v>13</v>
      </c>
      <c r="M170" s="12" t="s">
        <v>14</v>
      </c>
      <c r="N170" s="98"/>
      <c r="O170" s="139"/>
      <c r="P170" s="139"/>
      <c r="Q170" s="139"/>
      <c r="R170" s="139"/>
      <c r="S170" s="139"/>
      <c r="T170" s="139"/>
      <c r="U170" s="139"/>
      <c r="V170" s="139"/>
      <c r="W170" s="139"/>
    </row>
    <row r="171" spans="1:23" ht="22.5" x14ac:dyDescent="0.25">
      <c r="A171" s="17" t="s">
        <v>198</v>
      </c>
      <c r="B171" s="17">
        <v>5.2</v>
      </c>
      <c r="C171" s="17" t="s">
        <v>163</v>
      </c>
      <c r="D171" s="18" t="s">
        <v>303</v>
      </c>
      <c r="E171" s="18" t="s">
        <v>314</v>
      </c>
      <c r="F171" s="20" t="s">
        <v>209</v>
      </c>
      <c r="G171" s="125">
        <v>35</v>
      </c>
      <c r="H171" s="126">
        <v>2</v>
      </c>
      <c r="I171" s="126">
        <v>2</v>
      </c>
      <c r="J171" s="131">
        <f>365/7*4</f>
        <v>208.57142857142858</v>
      </c>
      <c r="K171" s="132">
        <f t="shared" si="4"/>
        <v>0.33561643835616434</v>
      </c>
      <c r="L171" s="18" t="s">
        <v>645</v>
      </c>
      <c r="M171" s="14" t="s">
        <v>565</v>
      </c>
      <c r="N171" s="18"/>
    </row>
    <row r="172" spans="1:23" ht="33.75" x14ac:dyDescent="0.25">
      <c r="A172" s="34" t="s">
        <v>198</v>
      </c>
      <c r="B172" s="34">
        <v>5.2</v>
      </c>
      <c r="C172" s="17" t="s">
        <v>163</v>
      </c>
      <c r="D172" s="18" t="s">
        <v>303</v>
      </c>
      <c r="E172" s="18" t="s">
        <v>315</v>
      </c>
      <c r="F172" s="20" t="s">
        <v>69</v>
      </c>
      <c r="G172" s="129">
        <v>8</v>
      </c>
      <c r="H172" s="130">
        <v>1</v>
      </c>
      <c r="I172" s="130">
        <v>3</v>
      </c>
      <c r="J172" s="131">
        <f>365/7*8</f>
        <v>417.14285714285717</v>
      </c>
      <c r="K172" s="132">
        <f t="shared" si="4"/>
        <v>5.7534246575342465E-2</v>
      </c>
      <c r="L172" s="18" t="s">
        <v>568</v>
      </c>
      <c r="M172" s="38" t="s">
        <v>566</v>
      </c>
      <c r="N172" s="20"/>
    </row>
    <row r="173" spans="1:23" ht="33.75" x14ac:dyDescent="0.25">
      <c r="A173" s="34" t="s">
        <v>198</v>
      </c>
      <c r="B173" s="34">
        <v>5.2</v>
      </c>
      <c r="C173" s="17" t="s">
        <v>163</v>
      </c>
      <c r="D173" s="18" t="s">
        <v>303</v>
      </c>
      <c r="E173" s="18" t="s">
        <v>567</v>
      </c>
      <c r="F173" s="20" t="s">
        <v>69</v>
      </c>
      <c r="G173" s="129">
        <v>11.5</v>
      </c>
      <c r="H173" s="130">
        <v>1</v>
      </c>
      <c r="I173" s="130">
        <v>3</v>
      </c>
      <c r="J173" s="131">
        <f>365/7*8</f>
        <v>417.14285714285717</v>
      </c>
      <c r="K173" s="132">
        <f t="shared" si="4"/>
        <v>8.2705479452054795E-2</v>
      </c>
      <c r="L173" s="18" t="s">
        <v>568</v>
      </c>
      <c r="M173" s="38" t="s">
        <v>569</v>
      </c>
      <c r="N173" s="20"/>
    </row>
    <row r="174" spans="1:23" ht="45" x14ac:dyDescent="0.25">
      <c r="A174" s="34" t="s">
        <v>198</v>
      </c>
      <c r="B174" s="34">
        <v>5.2</v>
      </c>
      <c r="C174" s="17" t="s">
        <v>163</v>
      </c>
      <c r="D174" s="18" t="s">
        <v>303</v>
      </c>
      <c r="E174" s="18" t="s">
        <v>316</v>
      </c>
      <c r="F174" s="20" t="s">
        <v>69</v>
      </c>
      <c r="G174" s="129">
        <v>20</v>
      </c>
      <c r="H174" s="130">
        <v>1</v>
      </c>
      <c r="I174" s="130">
        <v>3</v>
      </c>
      <c r="J174" s="131">
        <f>365/7*8</f>
        <v>417.14285714285717</v>
      </c>
      <c r="K174" s="132">
        <f t="shared" si="4"/>
        <v>0.14383561643835616</v>
      </c>
      <c r="L174" s="18" t="s">
        <v>646</v>
      </c>
      <c r="M174" s="14" t="s">
        <v>570</v>
      </c>
      <c r="N174" s="18"/>
    </row>
    <row r="175" spans="1:23" ht="78.75" x14ac:dyDescent="0.25">
      <c r="A175" s="34" t="s">
        <v>198</v>
      </c>
      <c r="B175" s="34">
        <v>5.2</v>
      </c>
      <c r="C175" s="17" t="s">
        <v>163</v>
      </c>
      <c r="D175" s="18" t="s">
        <v>303</v>
      </c>
      <c r="E175" s="18" t="s">
        <v>317</v>
      </c>
      <c r="F175" s="20" t="s">
        <v>69</v>
      </c>
      <c r="G175" s="129">
        <v>3</v>
      </c>
      <c r="H175" s="130">
        <v>2</v>
      </c>
      <c r="I175" s="130">
        <v>3</v>
      </c>
      <c r="J175" s="131">
        <f>365/7*8</f>
        <v>417.14285714285717</v>
      </c>
      <c r="K175" s="132">
        <f t="shared" si="4"/>
        <v>2.1575342465753423E-2</v>
      </c>
      <c r="L175" s="18" t="s">
        <v>647</v>
      </c>
      <c r="M175" s="14" t="s">
        <v>318</v>
      </c>
      <c r="N175" s="18"/>
    </row>
    <row r="176" spans="1:23" ht="33.75" x14ac:dyDescent="0.25">
      <c r="A176" s="17" t="s">
        <v>198</v>
      </c>
      <c r="B176" s="17">
        <v>5.2</v>
      </c>
      <c r="C176" s="17" t="s">
        <v>163</v>
      </c>
      <c r="D176" s="18" t="s">
        <v>303</v>
      </c>
      <c r="E176" s="18" t="s">
        <v>308</v>
      </c>
      <c r="F176" s="18" t="s">
        <v>69</v>
      </c>
      <c r="G176" s="129">
        <v>7</v>
      </c>
      <c r="H176" s="130">
        <v>1</v>
      </c>
      <c r="I176" s="130">
        <v>2</v>
      </c>
      <c r="J176" s="131">
        <f>365/7*4</f>
        <v>208.57142857142858</v>
      </c>
      <c r="K176" s="132">
        <f t="shared" si="4"/>
        <v>6.7123287671232879E-2</v>
      </c>
      <c r="L176" s="18" t="s">
        <v>648</v>
      </c>
      <c r="M176" s="24" t="s">
        <v>571</v>
      </c>
      <c r="N176" s="42"/>
    </row>
    <row r="177" spans="1:14" ht="33.75" x14ac:dyDescent="0.25">
      <c r="A177" s="17" t="s">
        <v>198</v>
      </c>
      <c r="B177" s="17">
        <v>5.2</v>
      </c>
      <c r="C177" s="17" t="s">
        <v>163</v>
      </c>
      <c r="D177" s="18" t="s">
        <v>303</v>
      </c>
      <c r="E177" s="20" t="s">
        <v>572</v>
      </c>
      <c r="F177" s="20" t="s">
        <v>69</v>
      </c>
      <c r="G177" s="125">
        <v>5</v>
      </c>
      <c r="H177" s="126">
        <v>2</v>
      </c>
      <c r="I177" s="126">
        <v>4</v>
      </c>
      <c r="J177" s="124">
        <f>365/7*4</f>
        <v>208.57142857142858</v>
      </c>
      <c r="K177" s="132">
        <f t="shared" si="4"/>
        <v>9.5890410958904104E-2</v>
      </c>
      <c r="L177" s="18" t="s">
        <v>573</v>
      </c>
      <c r="M177" s="24" t="s">
        <v>574</v>
      </c>
      <c r="N177" s="42"/>
    </row>
    <row r="178" spans="1:14" x14ac:dyDescent="0.25">
      <c r="A178" s="17" t="s">
        <v>198</v>
      </c>
      <c r="B178" s="17">
        <v>5.3</v>
      </c>
      <c r="C178" s="17" t="s">
        <v>163</v>
      </c>
      <c r="D178" s="18" t="s">
        <v>303</v>
      </c>
      <c r="E178" s="20" t="s">
        <v>575</v>
      </c>
      <c r="F178" s="20" t="s">
        <v>203</v>
      </c>
      <c r="G178" s="125">
        <v>35</v>
      </c>
      <c r="H178" s="126">
        <v>1</v>
      </c>
      <c r="I178" s="126">
        <v>1</v>
      </c>
      <c r="J178" s="124">
        <f>365/7*10</f>
        <v>521.42857142857144</v>
      </c>
      <c r="K178" s="132">
        <f t="shared" si="4"/>
        <v>6.7123287671232879E-2</v>
      </c>
      <c r="L178" s="18" t="s">
        <v>576</v>
      </c>
      <c r="M178" s="14" t="s">
        <v>577</v>
      </c>
      <c r="N178" s="42"/>
    </row>
    <row r="179" spans="1:14" ht="78.75" x14ac:dyDescent="0.25">
      <c r="A179" s="17" t="s">
        <v>198</v>
      </c>
      <c r="B179" s="17">
        <v>5.0999999999999996</v>
      </c>
      <c r="C179" s="17" t="s">
        <v>163</v>
      </c>
      <c r="D179" s="14" t="s">
        <v>199</v>
      </c>
      <c r="E179" s="14" t="s">
        <v>578</v>
      </c>
      <c r="F179" s="14" t="s">
        <v>579</v>
      </c>
      <c r="G179" s="132">
        <v>361.58</v>
      </c>
      <c r="H179" s="133">
        <v>1</v>
      </c>
      <c r="I179" s="175">
        <v>1</v>
      </c>
      <c r="J179" s="124">
        <f>365/7*10</f>
        <v>521.42857142857144</v>
      </c>
      <c r="K179" s="132">
        <f t="shared" si="4"/>
        <v>0.69344109589041092</v>
      </c>
      <c r="L179" s="14" t="s">
        <v>649</v>
      </c>
      <c r="M179" s="24" t="s">
        <v>580</v>
      </c>
      <c r="N179" s="18"/>
    </row>
    <row r="180" spans="1:14" ht="78.75" x14ac:dyDescent="0.25">
      <c r="A180" s="17" t="s">
        <v>198</v>
      </c>
      <c r="B180" s="17">
        <v>5.0999999999999996</v>
      </c>
      <c r="C180" s="17" t="s">
        <v>163</v>
      </c>
      <c r="D180" s="14" t="s">
        <v>581</v>
      </c>
      <c r="E180" s="14" t="s">
        <v>578</v>
      </c>
      <c r="F180" s="14" t="s">
        <v>579</v>
      </c>
      <c r="G180" s="132">
        <v>617.26</v>
      </c>
      <c r="H180" s="133">
        <v>1</v>
      </c>
      <c r="I180" s="175">
        <v>1</v>
      </c>
      <c r="J180" s="124">
        <f>365/7*10</f>
        <v>521.42857142857144</v>
      </c>
      <c r="K180" s="132">
        <f t="shared" si="4"/>
        <v>1.1837863013698631</v>
      </c>
      <c r="L180" s="14" t="s">
        <v>649</v>
      </c>
      <c r="M180" s="14" t="s">
        <v>582</v>
      </c>
      <c r="N180" s="18"/>
    </row>
    <row r="181" spans="1:14" ht="78.75" x14ac:dyDescent="0.25">
      <c r="A181" s="17" t="s">
        <v>198</v>
      </c>
      <c r="B181" s="17">
        <v>5.0999999999999996</v>
      </c>
      <c r="C181" s="17" t="s">
        <v>163</v>
      </c>
      <c r="D181" s="14" t="s">
        <v>304</v>
      </c>
      <c r="E181" s="14" t="s">
        <v>578</v>
      </c>
      <c r="F181" s="14" t="s">
        <v>579</v>
      </c>
      <c r="G181" s="132">
        <v>489.42</v>
      </c>
      <c r="H181" s="133">
        <v>1</v>
      </c>
      <c r="I181" s="175">
        <v>1</v>
      </c>
      <c r="J181" s="124">
        <f>365/7*10</f>
        <v>521.42857142857144</v>
      </c>
      <c r="K181" s="132">
        <f t="shared" si="4"/>
        <v>0.93861369863013699</v>
      </c>
      <c r="L181" s="14" t="s">
        <v>649</v>
      </c>
      <c r="M181" s="14" t="s">
        <v>650</v>
      </c>
      <c r="N181" s="18"/>
    </row>
    <row r="182" spans="1:14" ht="22.5" x14ac:dyDescent="0.25">
      <c r="A182" s="18" t="s">
        <v>198</v>
      </c>
      <c r="B182" s="15">
        <v>5.0999999999999996</v>
      </c>
      <c r="C182" s="18" t="s">
        <v>163</v>
      </c>
      <c r="D182" s="18" t="s">
        <v>583</v>
      </c>
      <c r="E182" s="20" t="s">
        <v>584</v>
      </c>
      <c r="F182" s="32" t="s">
        <v>1166</v>
      </c>
      <c r="G182" s="125">
        <v>49.99</v>
      </c>
      <c r="H182" s="126">
        <v>1</v>
      </c>
      <c r="I182" s="124">
        <v>1</v>
      </c>
      <c r="J182" s="124">
        <f>365/7*5</f>
        <v>260.71428571428572</v>
      </c>
      <c r="K182" s="132">
        <f t="shared" si="4"/>
        <v>0.19174246575342466</v>
      </c>
      <c r="L182" s="14" t="s">
        <v>651</v>
      </c>
      <c r="M182" s="17" t="s">
        <v>585</v>
      </c>
      <c r="N182" s="20"/>
    </row>
    <row r="184" spans="1:14" x14ac:dyDescent="0.25">
      <c r="E184" s="148" t="s">
        <v>1200</v>
      </c>
      <c r="F184" s="145">
        <f>SUM(K5:K182)</f>
        <v>19.648217621825882</v>
      </c>
    </row>
    <row r="209" spans="4:4" x14ac:dyDescent="0.25">
      <c r="D209" s="114"/>
    </row>
    <row r="210" spans="4:4" x14ac:dyDescent="0.25">
      <c r="D210" s="114"/>
    </row>
    <row r="211" spans="4:4" x14ac:dyDescent="0.25">
      <c r="D211" s="114"/>
    </row>
    <row r="212" spans="4:4" x14ac:dyDescent="0.25">
      <c r="D212" s="114"/>
    </row>
    <row r="219" spans="4:4" x14ac:dyDescent="0.25">
      <c r="D219" s="114"/>
    </row>
    <row r="220" spans="4:4" x14ac:dyDescent="0.25">
      <c r="D220" s="114"/>
    </row>
    <row r="302" spans="4:4" x14ac:dyDescent="0.25">
      <c r="D302" s="114"/>
    </row>
  </sheetData>
  <conditionalFormatting sqref="O31:V31">
    <cfRule type="cellIs" priority="2" operator="equal">
      <formula>0</formula>
    </cfRule>
  </conditionalFormatting>
  <conditionalFormatting sqref="O141:V142">
    <cfRule type="cellIs" dxfId="0" priority="1" operator="equal">
      <formula>0</formula>
    </cfRule>
  </conditionalFormatting>
  <printOptions gridLines="1"/>
  <pageMargins left="0.70866141732283472" right="0.70866141732283472" top="0.74803149606299213" bottom="0.74803149606299213" header="0.31496062992125984" footer="0.31496062992125984"/>
  <pageSetup paperSize="9" scale="82" orientation="landscape" r:id="rId1"/>
  <rowBreaks count="14" manualBreakCount="14">
    <brk id="15" max="16383" man="1"/>
    <brk id="29" max="16383" man="1"/>
    <brk id="40" max="16383" man="1"/>
    <brk id="53" max="16383" man="1"/>
    <brk id="62" max="16383" man="1"/>
    <brk id="75" max="16383" man="1"/>
    <brk id="85" max="16383" man="1"/>
    <brk id="101" max="16383" man="1"/>
    <brk id="114" max="16383" man="1"/>
    <brk id="128" max="16383" man="1"/>
    <brk id="143" max="16383" man="1"/>
    <brk id="159" max="16383" man="1"/>
    <brk id="169" max="16383" man="1"/>
    <brk id="18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7D457-D2BF-4FDC-A41E-AE657E068F40}">
  <sheetPr>
    <pageSetUpPr fitToPage="1"/>
  </sheetPr>
  <dimension ref="A1:N14"/>
  <sheetViews>
    <sheetView view="pageBreakPreview" zoomScale="115" zoomScaleNormal="115" zoomScaleSheetLayoutView="115" workbookViewId="0">
      <selection activeCell="Q27" sqref="Q27"/>
    </sheetView>
  </sheetViews>
  <sheetFormatPr defaultRowHeight="15" x14ac:dyDescent="0.25"/>
  <cols>
    <col min="1" max="1" width="6.140625" customWidth="1"/>
    <col min="2" max="2" width="6.5703125" customWidth="1"/>
    <col min="3" max="3" width="5.42578125" customWidth="1"/>
    <col min="4" max="4" width="9.140625" customWidth="1"/>
    <col min="5" max="5" width="11.7109375" customWidth="1"/>
    <col min="6" max="6" width="14.7109375" customWidth="1"/>
    <col min="7" max="7" width="6.42578125" style="117" customWidth="1"/>
    <col min="8" max="8" width="5.7109375" style="117" customWidth="1"/>
    <col min="9" max="9" width="7" style="117" customWidth="1"/>
    <col min="10" max="10" width="7.42578125" style="117" customWidth="1"/>
    <col min="11" max="11" width="7" style="117" customWidth="1"/>
    <col min="12" max="12" width="30.5703125" customWidth="1"/>
    <col min="13" max="13" width="32.28515625" customWidth="1"/>
    <col min="14" max="14" width="26" customWidth="1"/>
  </cols>
  <sheetData>
    <row r="1" spans="1:14" x14ac:dyDescent="0.25">
      <c r="A1" s="6" t="s">
        <v>0</v>
      </c>
      <c r="B1" s="7"/>
      <c r="C1" s="8"/>
    </row>
    <row r="2" spans="1:14" x14ac:dyDescent="0.25">
      <c r="A2" s="9" t="s">
        <v>40</v>
      </c>
      <c r="B2" s="9"/>
      <c r="C2" s="10"/>
    </row>
    <row r="3" spans="1:14" x14ac:dyDescent="0.25">
      <c r="A3" s="9" t="s">
        <v>1177</v>
      </c>
      <c r="B3" s="9"/>
      <c r="C3" s="10"/>
    </row>
    <row r="4" spans="1:14" ht="25.5" customHeight="1" x14ac:dyDescent="0.25">
      <c r="A4" s="11" t="s">
        <v>1</v>
      </c>
      <c r="B4" s="11" t="s">
        <v>2</v>
      </c>
      <c r="C4" s="11" t="s">
        <v>3</v>
      </c>
      <c r="D4" s="12" t="s">
        <v>4</v>
      </c>
      <c r="E4" s="12" t="s">
        <v>5</v>
      </c>
      <c r="F4" s="12" t="s">
        <v>7</v>
      </c>
      <c r="G4" s="13" t="s">
        <v>8</v>
      </c>
      <c r="H4" s="13" t="s">
        <v>9</v>
      </c>
      <c r="I4" s="12" t="s">
        <v>10</v>
      </c>
      <c r="J4" s="12" t="s">
        <v>11</v>
      </c>
      <c r="K4" s="13" t="s">
        <v>54</v>
      </c>
      <c r="L4" s="13" t="s">
        <v>13</v>
      </c>
      <c r="M4" s="12" t="s">
        <v>14</v>
      </c>
      <c r="N4" s="92"/>
    </row>
    <row r="5" spans="1:14" ht="69" customHeight="1" x14ac:dyDescent="0.25">
      <c r="A5" s="14" t="s">
        <v>41</v>
      </c>
      <c r="B5" s="14">
        <v>8.1</v>
      </c>
      <c r="C5" s="18" t="s">
        <v>163</v>
      </c>
      <c r="D5" s="15" t="s">
        <v>42</v>
      </c>
      <c r="E5" s="15" t="s">
        <v>43</v>
      </c>
      <c r="F5" s="15"/>
      <c r="G5" s="129">
        <v>10</v>
      </c>
      <c r="H5" s="129"/>
      <c r="I5" s="176">
        <v>1</v>
      </c>
      <c r="J5" s="131">
        <v>4.3499999999999996</v>
      </c>
      <c r="K5" s="129">
        <f>G5*I5/J5</f>
        <v>2.298850574712644</v>
      </c>
      <c r="L5" s="16" t="s">
        <v>822</v>
      </c>
      <c r="M5" s="15"/>
      <c r="N5" s="18"/>
    </row>
    <row r="6" spans="1:14" ht="33.75" x14ac:dyDescent="0.25">
      <c r="A6" s="7" t="s">
        <v>44</v>
      </c>
      <c r="B6" s="17">
        <v>8.1999999999999993</v>
      </c>
      <c r="C6" s="8" t="s">
        <v>163</v>
      </c>
      <c r="D6" s="7" t="s">
        <v>45</v>
      </c>
      <c r="E6" s="18" t="s">
        <v>819</v>
      </c>
      <c r="F6" s="18" t="s">
        <v>203</v>
      </c>
      <c r="G6" s="129">
        <v>7</v>
      </c>
      <c r="H6" s="176">
        <v>1</v>
      </c>
      <c r="I6" s="176">
        <v>1</v>
      </c>
      <c r="J6" s="131">
        <f>365/7*10</f>
        <v>521.42857142857144</v>
      </c>
      <c r="K6" s="132">
        <f>G6*I6/J6</f>
        <v>1.3424657534246575E-2</v>
      </c>
      <c r="L6" s="15" t="s">
        <v>818</v>
      </c>
      <c r="M6" s="29" t="s">
        <v>817</v>
      </c>
    </row>
    <row r="7" spans="1:14" ht="48.75" customHeight="1" x14ac:dyDescent="0.25">
      <c r="A7" s="17" t="s">
        <v>44</v>
      </c>
      <c r="B7" s="15">
        <v>8.1999999999999993</v>
      </c>
      <c r="C7" s="18" t="s">
        <v>163</v>
      </c>
      <c r="D7" s="14" t="s">
        <v>45</v>
      </c>
      <c r="E7" s="14" t="s">
        <v>46</v>
      </c>
      <c r="F7" s="19" t="s">
        <v>47</v>
      </c>
      <c r="G7" s="129">
        <v>0</v>
      </c>
      <c r="H7" s="130">
        <v>1</v>
      </c>
      <c r="I7" s="176">
        <v>1</v>
      </c>
      <c r="J7" s="131">
        <f>365/84</f>
        <v>4.3452380952380949</v>
      </c>
      <c r="K7" s="129">
        <f>G7*I7/J7</f>
        <v>0</v>
      </c>
      <c r="L7" s="18" t="s">
        <v>821</v>
      </c>
      <c r="M7" s="18" t="s">
        <v>1171</v>
      </c>
      <c r="N7" s="18"/>
    </row>
    <row r="8" spans="1:14" ht="45" x14ac:dyDescent="0.25">
      <c r="A8" s="17" t="s">
        <v>44</v>
      </c>
      <c r="B8" s="15">
        <v>8.3000000000000007</v>
      </c>
      <c r="C8" s="18" t="s">
        <v>163</v>
      </c>
      <c r="D8" s="14" t="s">
        <v>45</v>
      </c>
      <c r="E8" s="14" t="s">
        <v>48</v>
      </c>
      <c r="F8" s="19" t="s">
        <v>47</v>
      </c>
      <c r="G8" s="129">
        <v>10</v>
      </c>
      <c r="H8" s="130">
        <v>1</v>
      </c>
      <c r="I8" s="176">
        <v>1</v>
      </c>
      <c r="J8" s="131">
        <v>4.3452380952380949</v>
      </c>
      <c r="K8" s="132">
        <f>G8*I8/J8</f>
        <v>2.3013698630136989</v>
      </c>
      <c r="L8" s="18" t="s">
        <v>820</v>
      </c>
      <c r="M8" s="18" t="s">
        <v>49</v>
      </c>
      <c r="N8" s="18"/>
    </row>
    <row r="9" spans="1:14" ht="61.5" customHeight="1" x14ac:dyDescent="0.25">
      <c r="A9" s="17" t="s">
        <v>44</v>
      </c>
      <c r="B9" s="15">
        <v>8.3000000000000007</v>
      </c>
      <c r="C9" s="18" t="s">
        <v>163</v>
      </c>
      <c r="D9" s="14" t="s">
        <v>45</v>
      </c>
      <c r="E9" s="18" t="s">
        <v>50</v>
      </c>
      <c r="F9" s="16" t="s">
        <v>51</v>
      </c>
      <c r="G9" s="129">
        <v>23.5</v>
      </c>
      <c r="H9" s="130">
        <v>1</v>
      </c>
      <c r="I9" s="176">
        <v>1</v>
      </c>
      <c r="J9" s="131">
        <f>365/84</f>
        <v>4.3452380952380949</v>
      </c>
      <c r="K9" s="132">
        <f>G9*I9/J9</f>
        <v>5.4082191780821924</v>
      </c>
      <c r="L9" s="16" t="s">
        <v>812</v>
      </c>
      <c r="M9" s="20" t="s">
        <v>52</v>
      </c>
      <c r="N9" s="15"/>
    </row>
    <row r="10" spans="1:14" x14ac:dyDescent="0.25">
      <c r="A10" s="8"/>
      <c r="B10" s="14"/>
      <c r="C10" s="17"/>
      <c r="D10" s="18"/>
      <c r="E10" s="18"/>
      <c r="F10" s="18"/>
      <c r="G10" s="16"/>
      <c r="H10" s="115"/>
      <c r="I10" s="15"/>
      <c r="J10" s="15"/>
      <c r="K10" s="16"/>
      <c r="L10" s="19"/>
      <c r="M10" s="18"/>
    </row>
    <row r="11" spans="1:14" x14ac:dyDescent="0.25">
      <c r="A11" s="7"/>
      <c r="B11" s="17"/>
      <c r="C11" s="17"/>
      <c r="D11" s="7"/>
      <c r="E11" s="5" t="s">
        <v>1203</v>
      </c>
      <c r="F11" s="16">
        <f>SUM(K5)</f>
        <v>2.298850574712644</v>
      </c>
      <c r="G11" s="16"/>
      <c r="H11" s="115"/>
      <c r="I11" s="15"/>
      <c r="J11" s="15"/>
      <c r="K11" s="88"/>
      <c r="L11" s="15"/>
      <c r="M11" s="8"/>
    </row>
    <row r="12" spans="1:14" x14ac:dyDescent="0.25">
      <c r="A12" s="7"/>
      <c r="B12" s="17"/>
      <c r="C12" s="17"/>
      <c r="D12" s="7"/>
      <c r="E12" s="5" t="s">
        <v>1204</v>
      </c>
      <c r="F12" s="16">
        <f>SUM(K6:K9)</f>
        <v>7.7230136986301385</v>
      </c>
      <c r="G12" s="16"/>
      <c r="H12" s="15"/>
      <c r="I12" s="97"/>
      <c r="J12" s="24"/>
      <c r="K12" s="25"/>
      <c r="L12" s="20"/>
      <c r="M12" s="18"/>
      <c r="N12" s="18"/>
    </row>
    <row r="13" spans="1:14" x14ac:dyDescent="0.25">
      <c r="A13" s="7"/>
      <c r="B13" s="15"/>
      <c r="C13" s="17"/>
      <c r="D13" s="8"/>
      <c r="E13" s="8"/>
      <c r="F13" s="19"/>
      <c r="G13" s="16"/>
      <c r="H13" s="15"/>
      <c r="I13" s="97"/>
      <c r="J13" s="25"/>
      <c r="K13" s="88"/>
      <c r="L13" s="37"/>
      <c r="M13" s="18"/>
      <c r="N13" s="18"/>
    </row>
    <row r="14" spans="1:14" x14ac:dyDescent="0.25">
      <c r="A14" s="22"/>
      <c r="B14" s="15"/>
      <c r="C14" s="17"/>
      <c r="D14" s="15"/>
      <c r="E14" s="18"/>
      <c r="F14" s="16"/>
      <c r="G14" s="16"/>
      <c r="H14" s="15"/>
      <c r="I14" s="116"/>
      <c r="J14" s="16"/>
      <c r="K14" s="88"/>
      <c r="L14" s="18"/>
      <c r="M14" s="20"/>
      <c r="N14" s="100"/>
    </row>
  </sheetData>
  <printOptions gridLines="1"/>
  <pageMargins left="0.70866141732283472" right="0.70866141732283472" top="0.74803149606299213" bottom="0.74803149606299213" header="0.31496062992125984" footer="0.31496062992125984"/>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5051A-8CBC-46C9-932F-EAF547F952F4}">
  <dimension ref="A1:N107"/>
  <sheetViews>
    <sheetView view="pageBreakPreview" zoomScale="60" zoomScaleNormal="100" workbookViewId="0">
      <selection activeCell="Q27" sqref="Q27"/>
    </sheetView>
  </sheetViews>
  <sheetFormatPr defaultRowHeight="15" x14ac:dyDescent="0.25"/>
  <cols>
    <col min="1" max="1" width="6" customWidth="1"/>
    <col min="2" max="2" width="7.5703125" customWidth="1"/>
    <col min="3" max="3" width="6.5703125" customWidth="1"/>
    <col min="4" max="4" width="11.140625" customWidth="1"/>
    <col min="5" max="5" width="15" customWidth="1"/>
    <col min="7" max="8" width="6.42578125" style="117" customWidth="1"/>
    <col min="9" max="9" width="7.42578125" style="117" customWidth="1"/>
    <col min="10" max="10" width="8.28515625" style="117" customWidth="1"/>
    <col min="11" max="11" width="8" style="117" customWidth="1"/>
    <col min="12" max="12" width="30" customWidth="1"/>
    <col min="13" max="13" width="32.5703125" style="119" customWidth="1"/>
    <col min="14" max="14" width="17" customWidth="1"/>
  </cols>
  <sheetData>
    <row r="1" spans="1:14" x14ac:dyDescent="0.25">
      <c r="A1" s="6" t="s">
        <v>0</v>
      </c>
      <c r="B1" s="26"/>
      <c r="C1" s="7"/>
      <c r="D1" s="7"/>
      <c r="E1" s="7"/>
      <c r="F1" s="7"/>
      <c r="G1" s="17"/>
      <c r="H1" s="17"/>
      <c r="I1" s="17"/>
      <c r="J1" s="17"/>
      <c r="K1" s="17"/>
      <c r="L1" s="8"/>
      <c r="M1" s="7"/>
      <c r="N1" s="7"/>
    </row>
    <row r="2" spans="1:14" x14ac:dyDescent="0.25">
      <c r="A2" s="6" t="s">
        <v>652</v>
      </c>
      <c r="B2" s="26"/>
      <c r="C2" s="6"/>
      <c r="D2" s="39"/>
      <c r="E2" s="39"/>
      <c r="F2" s="39"/>
      <c r="G2" s="4"/>
      <c r="H2" s="118"/>
      <c r="I2" s="4"/>
      <c r="J2" s="4"/>
      <c r="K2" s="4"/>
      <c r="L2" s="39"/>
      <c r="M2" s="39"/>
      <c r="N2" s="39"/>
    </row>
    <row r="3" spans="1:14" x14ac:dyDescent="0.25">
      <c r="A3" s="9" t="s">
        <v>1177</v>
      </c>
      <c r="B3" s="21"/>
      <c r="C3" s="18"/>
      <c r="D3" s="18"/>
      <c r="E3" s="18"/>
      <c r="F3" s="18"/>
      <c r="G3" s="15"/>
      <c r="H3" s="15"/>
      <c r="I3" s="15"/>
      <c r="J3" s="15"/>
      <c r="K3" s="15"/>
      <c r="L3" s="18"/>
      <c r="M3" s="18"/>
      <c r="N3" s="99"/>
    </row>
    <row r="4" spans="1:14" ht="22.5" x14ac:dyDescent="0.25">
      <c r="A4" s="11" t="s">
        <v>1</v>
      </c>
      <c r="B4" s="11" t="s">
        <v>2</v>
      </c>
      <c r="C4" s="11" t="s">
        <v>3</v>
      </c>
      <c r="D4" s="12" t="s">
        <v>4</v>
      </c>
      <c r="E4" s="12" t="s">
        <v>5</v>
      </c>
      <c r="F4" s="12" t="s">
        <v>7</v>
      </c>
      <c r="G4" s="13" t="s">
        <v>8</v>
      </c>
      <c r="H4" s="13" t="s">
        <v>9</v>
      </c>
      <c r="I4" s="12" t="s">
        <v>10</v>
      </c>
      <c r="J4" s="12" t="s">
        <v>11</v>
      </c>
      <c r="K4" s="13" t="s">
        <v>54</v>
      </c>
      <c r="L4" s="13" t="s">
        <v>13</v>
      </c>
      <c r="M4" s="10" t="s">
        <v>14</v>
      </c>
      <c r="N4" s="92"/>
    </row>
    <row r="5" spans="1:14" x14ac:dyDescent="0.25">
      <c r="A5" s="7" t="s">
        <v>17</v>
      </c>
      <c r="B5" s="17">
        <v>12.1</v>
      </c>
      <c r="C5" s="17" t="s">
        <v>163</v>
      </c>
      <c r="D5" s="14" t="s">
        <v>21</v>
      </c>
      <c r="E5" s="14" t="s">
        <v>668</v>
      </c>
      <c r="F5" s="7"/>
      <c r="G5" s="132">
        <v>8</v>
      </c>
      <c r="H5" s="175"/>
      <c r="I5" s="133">
        <v>1</v>
      </c>
      <c r="J5" s="134">
        <f>365/84</f>
        <v>4.3452380952380949</v>
      </c>
      <c r="K5" s="129">
        <f t="shared" ref="K5:K38" si="0">G5*I5/J5</f>
        <v>1.8410958904109591</v>
      </c>
      <c r="L5" s="8" t="s">
        <v>721</v>
      </c>
      <c r="M5" s="8"/>
      <c r="N5" s="8"/>
    </row>
    <row r="6" spans="1:14" ht="33.75" x14ac:dyDescent="0.25">
      <c r="A6" s="7" t="s">
        <v>17</v>
      </c>
      <c r="B6" s="17">
        <v>12.1</v>
      </c>
      <c r="C6" s="7" t="s">
        <v>163</v>
      </c>
      <c r="D6" s="4" t="s">
        <v>21</v>
      </c>
      <c r="E6" s="4" t="s">
        <v>653</v>
      </c>
      <c r="F6" s="8" t="s">
        <v>686</v>
      </c>
      <c r="G6" s="132">
        <v>14.99</v>
      </c>
      <c r="H6" s="133">
        <v>1</v>
      </c>
      <c r="I6" s="133">
        <v>1</v>
      </c>
      <c r="J6" s="134">
        <f>365/7*10</f>
        <v>521.42857142857144</v>
      </c>
      <c r="K6" s="132">
        <f t="shared" si="0"/>
        <v>2.874794520547945E-2</v>
      </c>
      <c r="L6" s="8" t="s">
        <v>722</v>
      </c>
      <c r="M6" s="8" t="s">
        <v>723</v>
      </c>
      <c r="N6" s="8"/>
    </row>
    <row r="7" spans="1:14" ht="45" x14ac:dyDescent="0.25">
      <c r="A7" s="7" t="s">
        <v>17</v>
      </c>
      <c r="B7" s="17">
        <v>12.1</v>
      </c>
      <c r="C7" s="17" t="s">
        <v>163</v>
      </c>
      <c r="D7" s="14" t="s">
        <v>21</v>
      </c>
      <c r="E7" s="14" t="s">
        <v>682</v>
      </c>
      <c r="F7" s="7" t="s">
        <v>29</v>
      </c>
      <c r="G7" s="132">
        <v>1</v>
      </c>
      <c r="H7" s="175">
        <v>1</v>
      </c>
      <c r="I7" s="175">
        <v>2</v>
      </c>
      <c r="J7" s="134">
        <f>365/84</f>
        <v>4.3452380952380949</v>
      </c>
      <c r="K7" s="129">
        <f t="shared" si="0"/>
        <v>0.46027397260273978</v>
      </c>
      <c r="L7" s="8" t="s">
        <v>1172</v>
      </c>
      <c r="M7" s="8" t="s">
        <v>662</v>
      </c>
      <c r="N7" s="101"/>
    </row>
    <row r="8" spans="1:14" ht="22.5" x14ac:dyDescent="0.25">
      <c r="A8" s="7" t="s">
        <v>17</v>
      </c>
      <c r="B8" s="17">
        <v>12.1</v>
      </c>
      <c r="C8" s="17" t="s">
        <v>163</v>
      </c>
      <c r="D8" s="14" t="s">
        <v>21</v>
      </c>
      <c r="E8" s="14" t="s">
        <v>654</v>
      </c>
      <c r="F8" s="7" t="s">
        <v>29</v>
      </c>
      <c r="G8" s="132">
        <v>2.85</v>
      </c>
      <c r="H8" s="175">
        <v>4</v>
      </c>
      <c r="I8" s="175">
        <v>1</v>
      </c>
      <c r="J8" s="134">
        <v>2</v>
      </c>
      <c r="K8" s="129">
        <f t="shared" si="0"/>
        <v>1.425</v>
      </c>
      <c r="L8" s="8" t="s">
        <v>687</v>
      </c>
      <c r="M8" s="8" t="s">
        <v>655</v>
      </c>
      <c r="N8" s="8"/>
    </row>
    <row r="9" spans="1:14" ht="45" x14ac:dyDescent="0.25">
      <c r="A9" s="7" t="s">
        <v>17</v>
      </c>
      <c r="B9" s="17">
        <v>12.1</v>
      </c>
      <c r="C9" s="17" t="s">
        <v>163</v>
      </c>
      <c r="D9" s="14" t="s">
        <v>21</v>
      </c>
      <c r="E9" s="14" t="s">
        <v>724</v>
      </c>
      <c r="F9" s="7" t="s">
        <v>22</v>
      </c>
      <c r="G9" s="132">
        <v>4</v>
      </c>
      <c r="H9" s="175">
        <v>10</v>
      </c>
      <c r="I9" s="133">
        <v>2</v>
      </c>
      <c r="J9" s="134">
        <f>10/7</f>
        <v>1.4285714285714286</v>
      </c>
      <c r="K9" s="129">
        <f>G9*I9/J9</f>
        <v>5.6</v>
      </c>
      <c r="L9" s="8" t="s">
        <v>725</v>
      </c>
      <c r="M9" s="8" t="s">
        <v>726</v>
      </c>
      <c r="N9" s="8"/>
    </row>
    <row r="10" spans="1:14" x14ac:dyDescent="0.25">
      <c r="A10" s="7" t="s">
        <v>17</v>
      </c>
      <c r="B10" s="17">
        <v>12.1</v>
      </c>
      <c r="C10" s="17" t="s">
        <v>163</v>
      </c>
      <c r="D10" s="14" t="s">
        <v>21</v>
      </c>
      <c r="E10" s="14" t="s">
        <v>669</v>
      </c>
      <c r="F10" s="7" t="s">
        <v>29</v>
      </c>
      <c r="G10" s="132">
        <v>0.54</v>
      </c>
      <c r="H10" s="133">
        <v>1</v>
      </c>
      <c r="I10" s="133">
        <v>1</v>
      </c>
      <c r="J10" s="134">
        <f>365/84</f>
        <v>4.3452380952380949</v>
      </c>
      <c r="K10" s="129">
        <f>G10*I10/J10</f>
        <v>0.12427397260273974</v>
      </c>
      <c r="L10" s="8" t="s">
        <v>727</v>
      </c>
      <c r="M10" s="8" t="s">
        <v>670</v>
      </c>
      <c r="N10" s="8"/>
    </row>
    <row r="11" spans="1:14" ht="22.5" x14ac:dyDescent="0.25">
      <c r="A11" s="7" t="s">
        <v>17</v>
      </c>
      <c r="B11" s="17">
        <v>12.1</v>
      </c>
      <c r="C11" s="17" t="s">
        <v>163</v>
      </c>
      <c r="D11" s="15" t="s">
        <v>690</v>
      </c>
      <c r="E11" s="14" t="s">
        <v>671</v>
      </c>
      <c r="F11" s="7" t="s">
        <v>29</v>
      </c>
      <c r="G11" s="132">
        <v>8</v>
      </c>
      <c r="H11" s="133">
        <v>1</v>
      </c>
      <c r="I11" s="133">
        <v>1</v>
      </c>
      <c r="J11" s="134">
        <f>365/7*5</f>
        <v>260.71428571428572</v>
      </c>
      <c r="K11" s="129">
        <f>G11*I11/J11</f>
        <v>3.0684931506849315E-2</v>
      </c>
      <c r="L11" s="8" t="s">
        <v>728</v>
      </c>
      <c r="M11" s="8" t="s">
        <v>672</v>
      </c>
      <c r="N11" s="8"/>
    </row>
    <row r="12" spans="1:14" ht="22.5" x14ac:dyDescent="0.25">
      <c r="A12" s="7" t="s">
        <v>17</v>
      </c>
      <c r="B12" s="17">
        <v>12.1</v>
      </c>
      <c r="C12" s="17" t="s">
        <v>163</v>
      </c>
      <c r="D12" s="15" t="s">
        <v>690</v>
      </c>
      <c r="E12" s="14" t="s">
        <v>673</v>
      </c>
      <c r="F12" s="7" t="s">
        <v>29</v>
      </c>
      <c r="G12" s="132">
        <v>8</v>
      </c>
      <c r="H12" s="133">
        <v>4</v>
      </c>
      <c r="I12" s="133">
        <v>1</v>
      </c>
      <c r="J12" s="134">
        <v>4</v>
      </c>
      <c r="K12" s="129">
        <f>G12*I12/J12</f>
        <v>2</v>
      </c>
      <c r="L12" s="8" t="s">
        <v>729</v>
      </c>
      <c r="M12" s="8" t="s">
        <v>674</v>
      </c>
      <c r="N12" s="8"/>
    </row>
    <row r="13" spans="1:14" ht="22.5" x14ac:dyDescent="0.25">
      <c r="A13" s="7" t="s">
        <v>17</v>
      </c>
      <c r="B13" s="17">
        <v>12.1</v>
      </c>
      <c r="C13" s="17" t="s">
        <v>163</v>
      </c>
      <c r="D13" s="15" t="s">
        <v>690</v>
      </c>
      <c r="E13" s="14" t="s">
        <v>688</v>
      </c>
      <c r="F13" s="7" t="s">
        <v>29</v>
      </c>
      <c r="G13" s="132">
        <v>0.7</v>
      </c>
      <c r="H13" s="175">
        <v>1</v>
      </c>
      <c r="I13" s="133">
        <v>1</v>
      </c>
      <c r="J13" s="134">
        <f>365/84*2</f>
        <v>8.6904761904761898</v>
      </c>
      <c r="K13" s="125">
        <f t="shared" si="0"/>
        <v>8.0547945205479449E-2</v>
      </c>
      <c r="L13" s="8" t="s">
        <v>730</v>
      </c>
      <c r="M13" s="8" t="s">
        <v>689</v>
      </c>
      <c r="N13" s="8"/>
    </row>
    <row r="14" spans="1:14" ht="22.5" x14ac:dyDescent="0.25">
      <c r="A14" s="7" t="s">
        <v>17</v>
      </c>
      <c r="B14" s="17">
        <v>12.1</v>
      </c>
      <c r="C14" s="17" t="s">
        <v>163</v>
      </c>
      <c r="D14" s="15" t="s">
        <v>690</v>
      </c>
      <c r="E14" s="14" t="s">
        <v>692</v>
      </c>
      <c r="F14" s="7" t="s">
        <v>665</v>
      </c>
      <c r="G14" s="132">
        <v>2.99</v>
      </c>
      <c r="H14" s="175">
        <v>30</v>
      </c>
      <c r="I14" s="133">
        <v>1</v>
      </c>
      <c r="J14" s="134">
        <f>30/7</f>
        <v>4.2857142857142856</v>
      </c>
      <c r="K14" s="125">
        <f t="shared" si="0"/>
        <v>0.69766666666666677</v>
      </c>
      <c r="L14" s="8" t="s">
        <v>693</v>
      </c>
      <c r="M14" s="35" t="s">
        <v>694</v>
      </c>
      <c r="N14" s="8"/>
    </row>
    <row r="15" spans="1:14" ht="22.5" x14ac:dyDescent="0.25">
      <c r="A15" s="7" t="s">
        <v>17</v>
      </c>
      <c r="B15" s="17">
        <v>12.1</v>
      </c>
      <c r="C15" s="17" t="s">
        <v>163</v>
      </c>
      <c r="D15" s="15" t="s">
        <v>690</v>
      </c>
      <c r="E15" s="14" t="s">
        <v>675</v>
      </c>
      <c r="F15" s="7" t="s">
        <v>29</v>
      </c>
      <c r="G15" s="132">
        <v>0.8</v>
      </c>
      <c r="H15" s="175">
        <v>1</v>
      </c>
      <c r="I15" s="175">
        <v>1</v>
      </c>
      <c r="J15" s="134">
        <f>365/84</f>
        <v>4.3452380952380949</v>
      </c>
      <c r="K15" s="129">
        <f t="shared" si="0"/>
        <v>0.18410958904109592</v>
      </c>
      <c r="L15" s="8" t="s">
        <v>731</v>
      </c>
      <c r="M15" s="8" t="s">
        <v>656</v>
      </c>
      <c r="N15" s="8"/>
    </row>
    <row r="16" spans="1:14" ht="22.5" x14ac:dyDescent="0.25">
      <c r="A16" s="7" t="s">
        <v>17</v>
      </c>
      <c r="B16" s="17">
        <v>12.1</v>
      </c>
      <c r="C16" s="17" t="s">
        <v>163</v>
      </c>
      <c r="D16" s="15" t="s">
        <v>690</v>
      </c>
      <c r="E16" s="14" t="s">
        <v>676</v>
      </c>
      <c r="F16" s="7" t="s">
        <v>29</v>
      </c>
      <c r="G16" s="132">
        <v>0.99</v>
      </c>
      <c r="H16" s="175">
        <v>3</v>
      </c>
      <c r="I16" s="175">
        <v>1</v>
      </c>
      <c r="J16" s="134">
        <f>365/84*9</f>
        <v>39.107142857142854</v>
      </c>
      <c r="K16" s="129">
        <f t="shared" si="0"/>
        <v>2.5315068493150687E-2</v>
      </c>
      <c r="L16" s="8" t="s">
        <v>732</v>
      </c>
      <c r="M16" s="44" t="s">
        <v>657</v>
      </c>
      <c r="N16" s="8"/>
    </row>
    <row r="17" spans="1:14" ht="22.5" x14ac:dyDescent="0.25">
      <c r="A17" s="7" t="s">
        <v>17</v>
      </c>
      <c r="B17" s="17">
        <v>12.1</v>
      </c>
      <c r="C17" s="17" t="s">
        <v>163</v>
      </c>
      <c r="D17" s="15" t="s">
        <v>690</v>
      </c>
      <c r="E17" s="14" t="s">
        <v>658</v>
      </c>
      <c r="F17" s="7" t="s">
        <v>29</v>
      </c>
      <c r="G17" s="132">
        <v>0.99</v>
      </c>
      <c r="H17" s="175">
        <v>1</v>
      </c>
      <c r="I17" s="175">
        <v>1</v>
      </c>
      <c r="J17" s="134">
        <f>365/84</f>
        <v>4.3452380952380949</v>
      </c>
      <c r="K17" s="129">
        <f t="shared" si="0"/>
        <v>0.22783561643835618</v>
      </c>
      <c r="L17" s="8" t="s">
        <v>691</v>
      </c>
      <c r="M17" s="8" t="s">
        <v>659</v>
      </c>
      <c r="N17" s="8"/>
    </row>
    <row r="18" spans="1:14" ht="33.75" x14ac:dyDescent="0.25">
      <c r="A18" s="7" t="s">
        <v>17</v>
      </c>
      <c r="B18" s="17">
        <v>12.1</v>
      </c>
      <c r="C18" s="17" t="s">
        <v>163</v>
      </c>
      <c r="D18" s="15" t="s">
        <v>690</v>
      </c>
      <c r="E18" s="14" t="s">
        <v>695</v>
      </c>
      <c r="F18" s="7" t="s">
        <v>29</v>
      </c>
      <c r="G18" s="132">
        <v>0.8</v>
      </c>
      <c r="H18" s="175">
        <v>30</v>
      </c>
      <c r="I18" s="133">
        <v>1</v>
      </c>
      <c r="J18" s="134">
        <f>30/7</f>
        <v>4.2857142857142856</v>
      </c>
      <c r="K18" s="125">
        <f t="shared" si="0"/>
        <v>0.18666666666666668</v>
      </c>
      <c r="L18" s="8" t="s">
        <v>696</v>
      </c>
      <c r="M18" s="8" t="s">
        <v>697</v>
      </c>
      <c r="N18" s="8"/>
    </row>
    <row r="19" spans="1:14" ht="22.5" x14ac:dyDescent="0.25">
      <c r="A19" s="7" t="s">
        <v>17</v>
      </c>
      <c r="B19" s="17">
        <v>12.1</v>
      </c>
      <c r="C19" s="17" t="s">
        <v>163</v>
      </c>
      <c r="D19" s="15" t="s">
        <v>690</v>
      </c>
      <c r="E19" s="14" t="s">
        <v>698</v>
      </c>
      <c r="F19" s="8" t="s">
        <v>22</v>
      </c>
      <c r="G19" s="132">
        <v>1.25</v>
      </c>
      <c r="H19" s="133">
        <v>1</v>
      </c>
      <c r="I19" s="133">
        <v>1</v>
      </c>
      <c r="J19" s="134">
        <f>365/7*2</f>
        <v>104.28571428571429</v>
      </c>
      <c r="K19" s="132">
        <f t="shared" si="0"/>
        <v>1.1986301369863013E-2</v>
      </c>
      <c r="L19" s="8" t="s">
        <v>699</v>
      </c>
      <c r="M19" s="8" t="s">
        <v>700</v>
      </c>
      <c r="N19" s="8"/>
    </row>
    <row r="20" spans="1:14" ht="22.5" x14ac:dyDescent="0.25">
      <c r="A20" s="7" t="s">
        <v>17</v>
      </c>
      <c r="B20" s="17">
        <v>12.1</v>
      </c>
      <c r="C20" s="17" t="s">
        <v>163</v>
      </c>
      <c r="D20" s="15" t="s">
        <v>690</v>
      </c>
      <c r="E20" s="14" t="s">
        <v>678</v>
      </c>
      <c r="F20" s="7" t="s">
        <v>29</v>
      </c>
      <c r="G20" s="132">
        <v>1</v>
      </c>
      <c r="H20" s="133">
        <v>1</v>
      </c>
      <c r="I20" s="133">
        <v>1</v>
      </c>
      <c r="J20" s="134">
        <f>365/84</f>
        <v>4.3452380952380949</v>
      </c>
      <c r="K20" s="129">
        <f t="shared" si="0"/>
        <v>0.23013698630136989</v>
      </c>
      <c r="L20" s="8" t="s">
        <v>733</v>
      </c>
      <c r="M20" s="8" t="s">
        <v>679</v>
      </c>
      <c r="N20" s="8"/>
    </row>
    <row r="21" spans="1:14" ht="22.5" x14ac:dyDescent="0.25">
      <c r="A21" s="7" t="s">
        <v>17</v>
      </c>
      <c r="B21" s="17">
        <v>12.1</v>
      </c>
      <c r="C21" s="17" t="s">
        <v>163</v>
      </c>
      <c r="D21" s="15" t="s">
        <v>690</v>
      </c>
      <c r="E21" s="14" t="s">
        <v>734</v>
      </c>
      <c r="F21" s="7" t="s">
        <v>29</v>
      </c>
      <c r="G21" s="132">
        <v>2.75</v>
      </c>
      <c r="H21" s="133">
        <v>1</v>
      </c>
      <c r="I21" s="133">
        <v>1</v>
      </c>
      <c r="J21" s="134">
        <f>365/84</f>
        <v>4.3452380952380949</v>
      </c>
      <c r="K21" s="129">
        <f t="shared" si="0"/>
        <v>0.63287671232876719</v>
      </c>
      <c r="L21" s="8" t="s">
        <v>733</v>
      </c>
      <c r="M21" s="44" t="s">
        <v>683</v>
      </c>
      <c r="N21" s="8"/>
    </row>
    <row r="22" spans="1:14" x14ac:dyDescent="0.25">
      <c r="A22" s="7" t="s">
        <v>17</v>
      </c>
      <c r="B22" s="17">
        <v>12.1</v>
      </c>
      <c r="C22" s="17" t="s">
        <v>163</v>
      </c>
      <c r="D22" s="14" t="s">
        <v>21</v>
      </c>
      <c r="E22" s="14" t="s">
        <v>704</v>
      </c>
      <c r="F22" s="8" t="s">
        <v>29</v>
      </c>
      <c r="G22" s="132">
        <v>0.75</v>
      </c>
      <c r="H22" s="133">
        <v>2</v>
      </c>
      <c r="I22" s="133">
        <v>1</v>
      </c>
      <c r="J22" s="134">
        <f>365/84*2</f>
        <v>8.6904761904761898</v>
      </c>
      <c r="K22" s="132">
        <f t="shared" si="0"/>
        <v>8.6301369863013705E-2</v>
      </c>
      <c r="L22" s="8" t="s">
        <v>705</v>
      </c>
      <c r="M22" s="44" t="s">
        <v>706</v>
      </c>
      <c r="N22" s="8"/>
    </row>
    <row r="23" spans="1:14" s="139" customFormat="1" ht="22.5" x14ac:dyDescent="0.25">
      <c r="A23" s="11" t="s">
        <v>1</v>
      </c>
      <c r="B23" s="11" t="s">
        <v>2</v>
      </c>
      <c r="C23" s="11" t="s">
        <v>3</v>
      </c>
      <c r="D23" s="12" t="s">
        <v>4</v>
      </c>
      <c r="E23" s="12" t="s">
        <v>5</v>
      </c>
      <c r="F23" s="12" t="s">
        <v>7</v>
      </c>
      <c r="G23" s="13" t="s">
        <v>8</v>
      </c>
      <c r="H23" s="13" t="s">
        <v>9</v>
      </c>
      <c r="I23" s="12" t="s">
        <v>10</v>
      </c>
      <c r="J23" s="12" t="s">
        <v>11</v>
      </c>
      <c r="K23" s="13" t="s">
        <v>54</v>
      </c>
      <c r="L23" s="13" t="s">
        <v>13</v>
      </c>
      <c r="M23" s="10" t="s">
        <v>14</v>
      </c>
      <c r="N23" s="92"/>
    </row>
    <row r="24" spans="1:14" ht="22.5" x14ac:dyDescent="0.25">
      <c r="A24" s="7" t="s">
        <v>17</v>
      </c>
      <c r="B24" s="17">
        <v>12.1</v>
      </c>
      <c r="C24" s="17" t="s">
        <v>163</v>
      </c>
      <c r="D24" s="15" t="s">
        <v>690</v>
      </c>
      <c r="E24" s="14" t="s">
        <v>680</v>
      </c>
      <c r="F24" s="7" t="s">
        <v>29</v>
      </c>
      <c r="G24" s="132">
        <v>0.95</v>
      </c>
      <c r="H24" s="133">
        <v>1</v>
      </c>
      <c r="I24" s="133">
        <v>1</v>
      </c>
      <c r="J24" s="134">
        <f>365/84</f>
        <v>4.3452380952380949</v>
      </c>
      <c r="K24" s="129">
        <f t="shared" si="0"/>
        <v>0.21863013698630138</v>
      </c>
      <c r="L24" s="8" t="s">
        <v>733</v>
      </c>
      <c r="M24" s="8" t="s">
        <v>681</v>
      </c>
      <c r="N24" s="8"/>
    </row>
    <row r="25" spans="1:14" ht="22.5" x14ac:dyDescent="0.25">
      <c r="A25" s="7" t="s">
        <v>17</v>
      </c>
      <c r="B25" s="17">
        <v>12.1</v>
      </c>
      <c r="C25" s="17" t="s">
        <v>163</v>
      </c>
      <c r="D25" s="15" t="s">
        <v>690</v>
      </c>
      <c r="E25" s="14" t="s">
        <v>735</v>
      </c>
      <c r="F25" s="8" t="s">
        <v>29</v>
      </c>
      <c r="G25" s="132">
        <v>3</v>
      </c>
      <c r="H25" s="133">
        <v>1</v>
      </c>
      <c r="I25" s="133">
        <v>1</v>
      </c>
      <c r="J25" s="134">
        <f>365/84*6</f>
        <v>26.071428571428569</v>
      </c>
      <c r="K25" s="132">
        <f t="shared" si="0"/>
        <v>0.11506849315068494</v>
      </c>
      <c r="L25" s="8" t="s">
        <v>736</v>
      </c>
      <c r="M25" s="44" t="s">
        <v>737</v>
      </c>
      <c r="N25" s="8"/>
    </row>
    <row r="26" spans="1:14" ht="22.5" x14ac:dyDescent="0.25">
      <c r="A26" s="7" t="s">
        <v>17</v>
      </c>
      <c r="B26" s="17">
        <v>12.1</v>
      </c>
      <c r="C26" s="17" t="s">
        <v>163</v>
      </c>
      <c r="D26" s="15" t="s">
        <v>690</v>
      </c>
      <c r="E26" s="14" t="s">
        <v>677</v>
      </c>
      <c r="F26" s="7" t="s">
        <v>28</v>
      </c>
      <c r="G26" s="132">
        <v>6</v>
      </c>
      <c r="H26" s="133">
        <v>1</v>
      </c>
      <c r="I26" s="133">
        <v>1</v>
      </c>
      <c r="J26" s="134">
        <f>365/7</f>
        <v>52.142857142857146</v>
      </c>
      <c r="K26" s="132">
        <f t="shared" si="0"/>
        <v>0.11506849315068493</v>
      </c>
      <c r="L26" s="8" t="s">
        <v>738</v>
      </c>
      <c r="M26" s="8" t="s">
        <v>663</v>
      </c>
      <c r="N26" s="8"/>
    </row>
    <row r="27" spans="1:14" ht="22.5" x14ac:dyDescent="0.25">
      <c r="A27" s="7" t="s">
        <v>17</v>
      </c>
      <c r="B27" s="17">
        <v>12.1</v>
      </c>
      <c r="C27" s="17" t="s">
        <v>163</v>
      </c>
      <c r="D27" s="15" t="s">
        <v>690</v>
      </c>
      <c r="E27" s="14" t="s">
        <v>701</v>
      </c>
      <c r="F27" s="8" t="s">
        <v>29</v>
      </c>
      <c r="G27" s="132">
        <v>1</v>
      </c>
      <c r="H27" s="133">
        <v>1</v>
      </c>
      <c r="I27" s="133">
        <v>1</v>
      </c>
      <c r="J27" s="134">
        <f>365/84*3</f>
        <v>13.035714285714285</v>
      </c>
      <c r="K27" s="132">
        <f t="shared" si="0"/>
        <v>7.6712328767123292E-2</v>
      </c>
      <c r="L27" s="8" t="s">
        <v>702</v>
      </c>
      <c r="M27" s="8" t="s">
        <v>703</v>
      </c>
      <c r="N27" s="8"/>
    </row>
    <row r="28" spans="1:14" ht="22.5" x14ac:dyDescent="0.25">
      <c r="A28" s="7" t="s">
        <v>17</v>
      </c>
      <c r="B28" s="17">
        <v>12.1</v>
      </c>
      <c r="C28" s="17" t="s">
        <v>163</v>
      </c>
      <c r="D28" s="15" t="s">
        <v>690</v>
      </c>
      <c r="E28" s="14" t="s">
        <v>660</v>
      </c>
      <c r="F28" s="7" t="s">
        <v>29</v>
      </c>
      <c r="G28" s="132">
        <v>0.5</v>
      </c>
      <c r="H28" s="133">
        <v>1</v>
      </c>
      <c r="I28" s="133">
        <v>1</v>
      </c>
      <c r="J28" s="134">
        <f>365/7*10</f>
        <v>521.42857142857144</v>
      </c>
      <c r="K28" s="129">
        <f t="shared" si="0"/>
        <v>9.5890410958904108E-4</v>
      </c>
      <c r="L28" s="8" t="s">
        <v>739</v>
      </c>
      <c r="M28" s="8" t="s">
        <v>661</v>
      </c>
      <c r="N28" s="8"/>
    </row>
    <row r="29" spans="1:14" ht="33.75" x14ac:dyDescent="0.25">
      <c r="A29" s="7" t="s">
        <v>17</v>
      </c>
      <c r="B29" s="17">
        <v>12.1</v>
      </c>
      <c r="C29" s="7" t="s">
        <v>163</v>
      </c>
      <c r="D29" s="14" t="s">
        <v>21</v>
      </c>
      <c r="E29" s="14" t="s">
        <v>707</v>
      </c>
      <c r="F29" s="8" t="s">
        <v>29</v>
      </c>
      <c r="G29" s="132">
        <v>5</v>
      </c>
      <c r="H29" s="133">
        <v>1</v>
      </c>
      <c r="I29" s="133">
        <v>1</v>
      </c>
      <c r="J29" s="134">
        <f>365/7*5</f>
        <v>260.71428571428572</v>
      </c>
      <c r="K29" s="132">
        <f t="shared" si="0"/>
        <v>1.9178082191780823E-2</v>
      </c>
      <c r="L29" s="8" t="s">
        <v>740</v>
      </c>
      <c r="M29" s="44" t="s">
        <v>708</v>
      </c>
      <c r="N29" s="8"/>
    </row>
    <row r="30" spans="1:14" ht="33.75" x14ac:dyDescent="0.25">
      <c r="A30" s="7" t="s">
        <v>17</v>
      </c>
      <c r="B30" s="17">
        <v>12.1</v>
      </c>
      <c r="C30" s="17" t="s">
        <v>163</v>
      </c>
      <c r="D30" s="15" t="s">
        <v>690</v>
      </c>
      <c r="E30" s="14" t="s">
        <v>710</v>
      </c>
      <c r="F30" s="8" t="s">
        <v>28</v>
      </c>
      <c r="G30" s="132">
        <v>2.25</v>
      </c>
      <c r="H30" s="133">
        <v>1</v>
      </c>
      <c r="I30" s="133">
        <v>1</v>
      </c>
      <c r="J30" s="134">
        <f>365/7*10</f>
        <v>521.42857142857144</v>
      </c>
      <c r="K30" s="132">
        <f t="shared" si="0"/>
        <v>4.3150684931506844E-3</v>
      </c>
      <c r="L30" s="8" t="s">
        <v>711</v>
      </c>
      <c r="M30" s="8" t="s">
        <v>712</v>
      </c>
      <c r="N30" s="8"/>
    </row>
    <row r="31" spans="1:14" ht="22.5" x14ac:dyDescent="0.25">
      <c r="A31" s="7" t="s">
        <v>17</v>
      </c>
      <c r="B31" s="17">
        <v>12.1</v>
      </c>
      <c r="C31" s="17" t="s">
        <v>163</v>
      </c>
      <c r="D31" s="15" t="s">
        <v>690</v>
      </c>
      <c r="E31" s="14" t="s">
        <v>664</v>
      </c>
      <c r="F31" s="7"/>
      <c r="G31" s="132">
        <v>0</v>
      </c>
      <c r="H31" s="133">
        <v>0</v>
      </c>
      <c r="I31" s="133">
        <v>0</v>
      </c>
      <c r="J31" s="134">
        <f>365/7*10</f>
        <v>521.42857142857144</v>
      </c>
      <c r="K31" s="132">
        <f t="shared" si="0"/>
        <v>0</v>
      </c>
      <c r="L31" s="8" t="s">
        <v>709</v>
      </c>
      <c r="M31" s="8" t="s">
        <v>741</v>
      </c>
      <c r="N31" s="8"/>
    </row>
    <row r="32" spans="1:14" ht="33.75" x14ac:dyDescent="0.25">
      <c r="A32" s="7" t="s">
        <v>17</v>
      </c>
      <c r="B32" s="17">
        <v>12.1</v>
      </c>
      <c r="C32" s="17" t="s">
        <v>163</v>
      </c>
      <c r="D32" s="15" t="s">
        <v>690</v>
      </c>
      <c r="E32" s="14" t="s">
        <v>742</v>
      </c>
      <c r="F32" s="8" t="s">
        <v>686</v>
      </c>
      <c r="G32" s="132">
        <v>50</v>
      </c>
      <c r="H32" s="133">
        <v>1</v>
      </c>
      <c r="I32" s="133">
        <v>1</v>
      </c>
      <c r="J32" s="134">
        <f>365/7</f>
        <v>52.142857142857146</v>
      </c>
      <c r="K32" s="134">
        <f t="shared" si="0"/>
        <v>0.95890410958904104</v>
      </c>
      <c r="L32" s="52" t="s">
        <v>713</v>
      </c>
      <c r="M32" s="35"/>
      <c r="N32" s="8"/>
    </row>
    <row r="33" spans="1:14" ht="56.25" x14ac:dyDescent="0.25">
      <c r="A33" s="7" t="s">
        <v>17</v>
      </c>
      <c r="B33" s="17">
        <v>12.3</v>
      </c>
      <c r="C33" s="17" t="s">
        <v>163</v>
      </c>
      <c r="D33" s="14" t="s">
        <v>667</v>
      </c>
      <c r="E33" s="14" t="s">
        <v>715</v>
      </c>
      <c r="F33" s="8" t="s">
        <v>203</v>
      </c>
      <c r="G33" s="132">
        <v>45</v>
      </c>
      <c r="H33" s="133">
        <v>2</v>
      </c>
      <c r="I33" s="133">
        <v>1</v>
      </c>
      <c r="J33" s="134">
        <f>365/7*20</f>
        <v>1042.8571428571429</v>
      </c>
      <c r="K33" s="134">
        <f t="shared" si="0"/>
        <v>4.3150684931506846E-2</v>
      </c>
      <c r="L33" s="8" t="s">
        <v>716</v>
      </c>
      <c r="M33" s="8" t="s">
        <v>717</v>
      </c>
      <c r="N33" s="8"/>
    </row>
    <row r="34" spans="1:14" ht="22.5" x14ac:dyDescent="0.25">
      <c r="A34" s="7" t="s">
        <v>17</v>
      </c>
      <c r="B34" s="17">
        <v>12.3</v>
      </c>
      <c r="C34" s="17" t="s">
        <v>163</v>
      </c>
      <c r="D34" s="14" t="s">
        <v>667</v>
      </c>
      <c r="E34" s="8" t="s">
        <v>719</v>
      </c>
      <c r="F34" s="8" t="s">
        <v>720</v>
      </c>
      <c r="G34" s="132">
        <v>27.5</v>
      </c>
      <c r="H34" s="133">
        <v>2</v>
      </c>
      <c r="I34" s="133">
        <v>1</v>
      </c>
      <c r="J34" s="134">
        <f>365/7*10</f>
        <v>521.42857142857144</v>
      </c>
      <c r="K34" s="132">
        <f t="shared" si="0"/>
        <v>5.2739726027397259E-2</v>
      </c>
      <c r="L34" s="8" t="s">
        <v>743</v>
      </c>
      <c r="M34" s="46" t="s">
        <v>744</v>
      </c>
      <c r="N34" s="8"/>
    </row>
    <row r="35" spans="1:14" ht="22.5" x14ac:dyDescent="0.25">
      <c r="A35" s="7" t="s">
        <v>17</v>
      </c>
      <c r="B35" s="17">
        <v>12.3</v>
      </c>
      <c r="C35" s="17" t="s">
        <v>163</v>
      </c>
      <c r="D35" s="14" t="s">
        <v>667</v>
      </c>
      <c r="E35" s="7" t="s">
        <v>684</v>
      </c>
      <c r="F35" s="7" t="s">
        <v>666</v>
      </c>
      <c r="G35" s="132">
        <v>14.99</v>
      </c>
      <c r="H35" s="133">
        <v>1</v>
      </c>
      <c r="I35" s="133">
        <v>1</v>
      </c>
      <c r="J35" s="134">
        <f>365/7*2</f>
        <v>104.28571428571429</v>
      </c>
      <c r="K35" s="132">
        <f t="shared" si="0"/>
        <v>0.14373972602739726</v>
      </c>
      <c r="L35" s="8" t="s">
        <v>745</v>
      </c>
      <c r="M35" s="8" t="s">
        <v>685</v>
      </c>
      <c r="N35" s="8"/>
    </row>
    <row r="36" spans="1:14" ht="22.5" x14ac:dyDescent="0.25">
      <c r="A36" s="7" t="s">
        <v>17</v>
      </c>
      <c r="B36" s="17">
        <v>12.3</v>
      </c>
      <c r="C36" s="17" t="s">
        <v>163</v>
      </c>
      <c r="D36" s="14" t="s">
        <v>667</v>
      </c>
      <c r="E36" s="7" t="s">
        <v>714</v>
      </c>
      <c r="F36" s="7" t="s">
        <v>203</v>
      </c>
      <c r="G36" s="132">
        <v>19.989999999999998</v>
      </c>
      <c r="H36" s="175">
        <v>1</v>
      </c>
      <c r="I36" s="133">
        <v>1</v>
      </c>
      <c r="J36" s="134">
        <f>365/7*10</f>
        <v>521.42857142857144</v>
      </c>
      <c r="K36" s="129">
        <f t="shared" si="0"/>
        <v>3.8336986301369856E-2</v>
      </c>
      <c r="L36" s="8" t="s">
        <v>746</v>
      </c>
      <c r="M36" s="8" t="s">
        <v>747</v>
      </c>
      <c r="N36" s="8"/>
    </row>
    <row r="37" spans="1:14" ht="22.5" x14ac:dyDescent="0.25">
      <c r="A37" s="7" t="s">
        <v>17</v>
      </c>
      <c r="B37" s="17">
        <v>12.3</v>
      </c>
      <c r="C37" s="17" t="s">
        <v>163</v>
      </c>
      <c r="D37" s="14" t="s">
        <v>667</v>
      </c>
      <c r="E37" s="14" t="s">
        <v>718</v>
      </c>
      <c r="F37" s="8" t="s">
        <v>58</v>
      </c>
      <c r="G37" s="132">
        <v>4.99</v>
      </c>
      <c r="H37" s="133">
        <v>1</v>
      </c>
      <c r="I37" s="133">
        <v>1</v>
      </c>
      <c r="J37" s="134">
        <f>365/7*4</f>
        <v>208.57142857142858</v>
      </c>
      <c r="K37" s="132">
        <f t="shared" si="0"/>
        <v>2.3924657534246576E-2</v>
      </c>
      <c r="L37" s="8" t="s">
        <v>748</v>
      </c>
      <c r="M37" s="8" t="s">
        <v>749</v>
      </c>
      <c r="N37" s="8"/>
    </row>
    <row r="38" spans="1:14" ht="33.75" x14ac:dyDescent="0.25">
      <c r="A38" s="34" t="s">
        <v>17</v>
      </c>
      <c r="B38" s="34">
        <v>9.1</v>
      </c>
      <c r="C38" s="17" t="s">
        <v>163</v>
      </c>
      <c r="D38" s="18" t="s">
        <v>667</v>
      </c>
      <c r="E38" s="20" t="s">
        <v>553</v>
      </c>
      <c r="F38" s="20" t="s">
        <v>398</v>
      </c>
      <c r="G38" s="126">
        <v>28.99</v>
      </c>
      <c r="H38" s="126">
        <v>1</v>
      </c>
      <c r="I38" s="126">
        <v>1</v>
      </c>
      <c r="J38" s="124">
        <f>365/7*20</f>
        <v>1042.8571428571429</v>
      </c>
      <c r="K38" s="132">
        <f t="shared" si="0"/>
        <v>2.7798630136986299E-2</v>
      </c>
      <c r="L38" s="20" t="s">
        <v>554</v>
      </c>
      <c r="M38" s="8" t="s">
        <v>555</v>
      </c>
      <c r="N38" s="8"/>
    </row>
    <row r="39" spans="1:14" x14ac:dyDescent="0.25">
      <c r="G39"/>
      <c r="H39"/>
      <c r="I39"/>
      <c r="J39"/>
      <c r="K39"/>
    </row>
    <row r="40" spans="1:14" ht="33.75" x14ac:dyDescent="0.25">
      <c r="E40" s="4" t="s">
        <v>1207</v>
      </c>
      <c r="F40" s="90">
        <f>SUM(K5:K38)</f>
        <v>15.712045662100458</v>
      </c>
      <c r="G40"/>
      <c r="H40"/>
      <c r="I40"/>
      <c r="J40"/>
      <c r="K40"/>
    </row>
    <row r="41" spans="1:14" x14ac:dyDescent="0.25">
      <c r="G41"/>
      <c r="H41"/>
      <c r="I41"/>
      <c r="J41"/>
      <c r="K41"/>
    </row>
    <row r="42" spans="1:14" x14ac:dyDescent="0.25">
      <c r="G42"/>
      <c r="H42"/>
      <c r="I42"/>
      <c r="J42"/>
      <c r="K42"/>
    </row>
    <row r="43" spans="1:14" x14ac:dyDescent="0.25">
      <c r="G43"/>
      <c r="H43"/>
      <c r="I43"/>
      <c r="J43"/>
      <c r="K43"/>
    </row>
    <row r="44" spans="1:14" x14ac:dyDescent="0.25">
      <c r="G44"/>
      <c r="H44"/>
      <c r="I44"/>
      <c r="J44"/>
      <c r="K44"/>
    </row>
    <row r="45" spans="1:14" x14ac:dyDescent="0.25">
      <c r="G45"/>
      <c r="H45"/>
      <c r="I45"/>
      <c r="J45"/>
      <c r="K45"/>
    </row>
    <row r="46" spans="1:14" x14ac:dyDescent="0.25">
      <c r="G46"/>
      <c r="H46"/>
      <c r="I46"/>
      <c r="J46"/>
      <c r="K46"/>
    </row>
    <row r="47" spans="1:14" x14ac:dyDescent="0.25">
      <c r="G47"/>
      <c r="H47"/>
      <c r="I47"/>
      <c r="J47"/>
      <c r="K47"/>
    </row>
    <row r="48" spans="1:14" x14ac:dyDescent="0.25">
      <c r="G48"/>
      <c r="H48"/>
      <c r="I48"/>
      <c r="J48"/>
      <c r="K48"/>
    </row>
    <row r="49" spans="7:11" x14ac:dyDescent="0.25">
      <c r="G49"/>
      <c r="H49"/>
      <c r="I49"/>
      <c r="J49"/>
      <c r="K49"/>
    </row>
    <row r="50" spans="7:11" x14ac:dyDescent="0.25">
      <c r="G50"/>
      <c r="H50"/>
      <c r="I50"/>
      <c r="J50"/>
      <c r="K50"/>
    </row>
    <row r="51" spans="7:11" x14ac:dyDescent="0.25">
      <c r="G51"/>
      <c r="H51"/>
      <c r="I51"/>
      <c r="J51"/>
      <c r="K51"/>
    </row>
    <row r="52" spans="7:11" x14ac:dyDescent="0.25">
      <c r="G52"/>
      <c r="H52"/>
      <c r="I52"/>
      <c r="J52"/>
      <c r="K52"/>
    </row>
    <row r="53" spans="7:11" x14ac:dyDescent="0.25">
      <c r="G53"/>
      <c r="H53"/>
      <c r="I53"/>
      <c r="J53"/>
      <c r="K53"/>
    </row>
    <row r="54" spans="7:11" x14ac:dyDescent="0.25">
      <c r="G54"/>
      <c r="H54"/>
      <c r="I54"/>
      <c r="J54"/>
      <c r="K54"/>
    </row>
    <row r="55" spans="7:11" x14ac:dyDescent="0.25">
      <c r="G55"/>
      <c r="H55"/>
      <c r="I55"/>
      <c r="J55"/>
      <c r="K55"/>
    </row>
    <row r="56" spans="7:11" x14ac:dyDescent="0.25">
      <c r="G56"/>
      <c r="H56"/>
      <c r="I56"/>
      <c r="J56"/>
      <c r="K56"/>
    </row>
    <row r="57" spans="7:11" x14ac:dyDescent="0.25">
      <c r="G57"/>
      <c r="H57"/>
      <c r="I57"/>
      <c r="J57"/>
      <c r="K57"/>
    </row>
    <row r="58" spans="7:11" x14ac:dyDescent="0.25">
      <c r="G58"/>
      <c r="H58"/>
      <c r="I58"/>
      <c r="J58"/>
      <c r="K58"/>
    </row>
    <row r="59" spans="7:11" x14ac:dyDescent="0.25">
      <c r="G59"/>
      <c r="H59"/>
      <c r="I59"/>
      <c r="J59"/>
      <c r="K59"/>
    </row>
    <row r="60" spans="7:11" x14ac:dyDescent="0.25">
      <c r="G60"/>
      <c r="H60"/>
      <c r="I60"/>
      <c r="J60"/>
      <c r="K60"/>
    </row>
    <row r="61" spans="7:11" x14ac:dyDescent="0.25">
      <c r="G61"/>
      <c r="H61"/>
      <c r="I61"/>
      <c r="J61"/>
      <c r="K61"/>
    </row>
    <row r="62" spans="7:11" x14ac:dyDescent="0.25">
      <c r="G62"/>
      <c r="H62"/>
      <c r="I62"/>
      <c r="J62"/>
      <c r="K62"/>
    </row>
    <row r="63" spans="7:11" x14ac:dyDescent="0.25">
      <c r="G63"/>
      <c r="H63"/>
      <c r="I63"/>
      <c r="J63"/>
      <c r="K63"/>
    </row>
    <row r="64" spans="7:11" x14ac:dyDescent="0.25">
      <c r="G64"/>
      <c r="H64"/>
      <c r="I64"/>
      <c r="J64"/>
      <c r="K64"/>
    </row>
    <row r="65" spans="7:11" x14ac:dyDescent="0.25">
      <c r="G65"/>
      <c r="H65"/>
      <c r="I65"/>
      <c r="J65"/>
      <c r="K65"/>
    </row>
    <row r="66" spans="7:11" x14ac:dyDescent="0.25">
      <c r="G66"/>
      <c r="H66"/>
      <c r="I66"/>
      <c r="J66"/>
      <c r="K66"/>
    </row>
    <row r="67" spans="7:11" x14ac:dyDescent="0.25">
      <c r="G67"/>
      <c r="H67"/>
      <c r="I67"/>
      <c r="J67"/>
      <c r="K67"/>
    </row>
    <row r="68" spans="7:11" x14ac:dyDescent="0.25">
      <c r="G68"/>
      <c r="H68"/>
      <c r="I68"/>
      <c r="J68"/>
      <c r="K68"/>
    </row>
    <row r="69" spans="7:11" x14ac:dyDescent="0.25">
      <c r="G69"/>
      <c r="H69"/>
      <c r="I69"/>
      <c r="J69"/>
      <c r="K69"/>
    </row>
    <row r="70" spans="7:11" x14ac:dyDescent="0.25">
      <c r="G70"/>
      <c r="H70"/>
      <c r="I70"/>
      <c r="J70"/>
      <c r="K70"/>
    </row>
    <row r="71" spans="7:11" x14ac:dyDescent="0.25">
      <c r="G71"/>
      <c r="H71"/>
      <c r="I71"/>
      <c r="J71"/>
      <c r="K71"/>
    </row>
    <row r="72" spans="7:11" x14ac:dyDescent="0.25">
      <c r="G72"/>
      <c r="H72"/>
      <c r="I72"/>
      <c r="J72"/>
      <c r="K72"/>
    </row>
    <row r="73" spans="7:11" x14ac:dyDescent="0.25">
      <c r="G73"/>
      <c r="H73"/>
      <c r="I73"/>
      <c r="J73"/>
      <c r="K73"/>
    </row>
    <row r="74" spans="7:11" x14ac:dyDescent="0.25">
      <c r="G74"/>
      <c r="H74"/>
      <c r="I74"/>
      <c r="J74"/>
      <c r="K74"/>
    </row>
    <row r="75" spans="7:11" x14ac:dyDescent="0.25">
      <c r="G75"/>
      <c r="H75"/>
      <c r="I75"/>
      <c r="J75"/>
      <c r="K75"/>
    </row>
    <row r="76" spans="7:11" x14ac:dyDescent="0.25">
      <c r="G76"/>
      <c r="H76"/>
      <c r="I76"/>
      <c r="J76"/>
      <c r="K76"/>
    </row>
    <row r="77" spans="7:11" x14ac:dyDescent="0.25">
      <c r="G77"/>
      <c r="H77"/>
      <c r="I77"/>
      <c r="J77"/>
      <c r="K77"/>
    </row>
    <row r="78" spans="7:11" x14ac:dyDescent="0.25">
      <c r="G78"/>
      <c r="H78"/>
      <c r="I78"/>
      <c r="J78"/>
      <c r="K78"/>
    </row>
    <row r="79" spans="7:11" x14ac:dyDescent="0.25">
      <c r="G79"/>
      <c r="H79"/>
      <c r="I79"/>
      <c r="J79"/>
      <c r="K79"/>
    </row>
    <row r="80" spans="7:11" x14ac:dyDescent="0.25">
      <c r="G80"/>
      <c r="H80"/>
      <c r="I80"/>
      <c r="J80"/>
      <c r="K80"/>
    </row>
    <row r="81" spans="7:11" x14ac:dyDescent="0.25">
      <c r="G81"/>
      <c r="H81"/>
      <c r="I81"/>
      <c r="J81"/>
      <c r="K81"/>
    </row>
    <row r="82" spans="7:11" x14ac:dyDescent="0.25">
      <c r="G82"/>
      <c r="H82"/>
      <c r="I82"/>
      <c r="J82"/>
      <c r="K82"/>
    </row>
    <row r="83" spans="7:11" x14ac:dyDescent="0.25">
      <c r="G83"/>
      <c r="H83"/>
      <c r="I83"/>
      <c r="J83"/>
      <c r="K83"/>
    </row>
    <row r="84" spans="7:11" x14ac:dyDescent="0.25">
      <c r="G84"/>
      <c r="H84"/>
      <c r="I84"/>
      <c r="J84"/>
      <c r="K84"/>
    </row>
    <row r="85" spans="7:11" x14ac:dyDescent="0.25">
      <c r="G85"/>
      <c r="H85"/>
      <c r="I85"/>
      <c r="J85"/>
      <c r="K85"/>
    </row>
    <row r="86" spans="7:11" x14ac:dyDescent="0.25">
      <c r="G86"/>
      <c r="H86"/>
      <c r="I86"/>
      <c r="J86"/>
      <c r="K86"/>
    </row>
    <row r="87" spans="7:11" x14ac:dyDescent="0.25">
      <c r="G87"/>
      <c r="H87"/>
      <c r="I87"/>
      <c r="J87"/>
      <c r="K87"/>
    </row>
    <row r="88" spans="7:11" x14ac:dyDescent="0.25">
      <c r="G88"/>
      <c r="H88"/>
      <c r="I88"/>
      <c r="J88"/>
      <c r="K88"/>
    </row>
    <row r="89" spans="7:11" x14ac:dyDescent="0.25">
      <c r="G89"/>
      <c r="H89"/>
      <c r="I89"/>
      <c r="J89"/>
      <c r="K89"/>
    </row>
    <row r="90" spans="7:11" x14ac:dyDescent="0.25">
      <c r="G90"/>
      <c r="H90"/>
      <c r="I90"/>
      <c r="J90"/>
      <c r="K90"/>
    </row>
    <row r="91" spans="7:11" x14ac:dyDescent="0.25">
      <c r="G91"/>
      <c r="H91"/>
      <c r="I91"/>
      <c r="J91"/>
      <c r="K91"/>
    </row>
    <row r="92" spans="7:11" x14ac:dyDescent="0.25">
      <c r="G92"/>
      <c r="H92"/>
      <c r="I92"/>
      <c r="J92"/>
      <c r="K92"/>
    </row>
    <row r="93" spans="7:11" x14ac:dyDescent="0.25">
      <c r="G93"/>
      <c r="H93"/>
      <c r="I93"/>
      <c r="J93"/>
      <c r="K93"/>
    </row>
    <row r="94" spans="7:11" x14ac:dyDescent="0.25">
      <c r="G94"/>
      <c r="H94"/>
      <c r="I94"/>
      <c r="J94"/>
      <c r="K94"/>
    </row>
    <row r="95" spans="7:11" x14ac:dyDescent="0.25">
      <c r="G95"/>
      <c r="H95"/>
      <c r="I95"/>
      <c r="J95"/>
      <c r="K95"/>
    </row>
    <row r="96" spans="7:11" x14ac:dyDescent="0.25">
      <c r="G96"/>
      <c r="H96"/>
      <c r="I96"/>
      <c r="J96"/>
      <c r="K96"/>
    </row>
    <row r="97" spans="7:11" x14ac:dyDescent="0.25">
      <c r="G97"/>
      <c r="H97"/>
      <c r="I97"/>
      <c r="J97"/>
      <c r="K97"/>
    </row>
    <row r="98" spans="7:11" x14ac:dyDescent="0.25">
      <c r="G98"/>
      <c r="H98"/>
      <c r="I98"/>
      <c r="J98"/>
      <c r="K98"/>
    </row>
    <row r="99" spans="7:11" x14ac:dyDescent="0.25">
      <c r="G99"/>
      <c r="H99"/>
      <c r="I99"/>
      <c r="J99"/>
      <c r="K99"/>
    </row>
    <row r="100" spans="7:11" x14ac:dyDescent="0.25">
      <c r="G100"/>
      <c r="H100"/>
      <c r="I100"/>
      <c r="J100"/>
      <c r="K100"/>
    </row>
    <row r="101" spans="7:11" x14ac:dyDescent="0.25">
      <c r="G101"/>
      <c r="H101"/>
      <c r="I101"/>
      <c r="J101"/>
      <c r="K101"/>
    </row>
    <row r="102" spans="7:11" x14ac:dyDescent="0.25">
      <c r="G102"/>
      <c r="H102"/>
      <c r="I102"/>
      <c r="J102"/>
      <c r="K102"/>
    </row>
    <row r="103" spans="7:11" x14ac:dyDescent="0.25">
      <c r="G103"/>
      <c r="H103"/>
      <c r="I103"/>
      <c r="J103"/>
      <c r="K103"/>
    </row>
    <row r="104" spans="7:11" x14ac:dyDescent="0.25">
      <c r="G104"/>
      <c r="H104"/>
      <c r="I104"/>
      <c r="J104"/>
      <c r="K104"/>
    </row>
    <row r="105" spans="7:11" x14ac:dyDescent="0.25">
      <c r="G105"/>
      <c r="H105"/>
      <c r="I105"/>
      <c r="J105"/>
      <c r="K105"/>
    </row>
    <row r="106" spans="7:11" x14ac:dyDescent="0.25">
      <c r="G106"/>
      <c r="H106"/>
      <c r="I106"/>
      <c r="J106"/>
      <c r="K106"/>
    </row>
    <row r="107" spans="7:11" x14ac:dyDescent="0.25">
      <c r="G107"/>
      <c r="H107"/>
      <c r="I107"/>
      <c r="J107"/>
      <c r="K107"/>
    </row>
  </sheetData>
  <printOptions gridLines="1"/>
  <pageMargins left="0.70866141732283472" right="0.70866141732283472" top="0.74803149606299213" bottom="0.74803149606299213" header="0.31496062992125984" footer="0.31496062992125984"/>
  <pageSetup paperSize="9" scale="84" orientation="landscape" r:id="rId1"/>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Totals</vt:lpstr>
      <vt:lpstr>Food</vt:lpstr>
      <vt:lpstr>Alcohol</vt:lpstr>
      <vt:lpstr>Clothing</vt:lpstr>
      <vt:lpstr>Footwear</vt:lpstr>
      <vt:lpstr>Housing</vt:lpstr>
      <vt:lpstr>HHGoods</vt:lpstr>
      <vt:lpstr>HHServices</vt:lpstr>
      <vt:lpstr>PersonalGoods+Services</vt:lpstr>
      <vt:lpstr>Health</vt:lpstr>
      <vt:lpstr>Transport</vt:lpstr>
      <vt:lpstr>LeisureGoods</vt:lpstr>
      <vt:lpstr>LeisureServices</vt:lpstr>
      <vt:lpstr>Clothing!Print_Area</vt:lpstr>
      <vt:lpstr>Food!Print_Area</vt:lpstr>
      <vt:lpstr>LeisureServices!Print_Area</vt:lpstr>
      <vt:lpstr>Clothing!Print_Titles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Chloe Blackwell</dc:creator>
  <cp:lastModifiedBy>Staff/Research Student</cp:lastModifiedBy>
  <cp:lastPrinted>2022-09-01T09:33:18Z</cp:lastPrinted>
  <dcterms:created xsi:type="dcterms:W3CDTF">2022-04-20T14:21:19Z</dcterms:created>
  <dcterms:modified xsi:type="dcterms:W3CDTF">2022-09-01T09:57:31Z</dcterms:modified>
</cp:coreProperties>
</file>